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DieseArbeitsmappe"/>
  <mc:AlternateContent xmlns:mc="http://schemas.openxmlformats.org/markup-compatibility/2006">
    <mc:Choice Requires="x15">
      <x15ac:absPath xmlns:x15ac="http://schemas.microsoft.com/office/spreadsheetml/2010/11/ac" url="D:\Euregio HTBLVA Ferlach\Team_VPAM - General\- VPAM Homepage\interner Bereich\2 Richtlinienarbeit\APR\v50-Formular_NEU\"/>
    </mc:Choice>
  </mc:AlternateContent>
  <xr:revisionPtr revIDLastSave="0" documentId="13_ncr:1_{A7839283-5699-4332-80EE-CD8F6BA069B8}" xr6:coauthVersionLast="47" xr6:coauthVersionMax="47" xr10:uidLastSave="{00000000-0000-0000-0000-000000000000}"/>
  <bookViews>
    <workbookView xWindow="-120" yWindow="-120" windowWidth="29040" windowHeight="17025" xr2:uid="{00000000-000D-0000-FFFF-FFFF00000000}"/>
  </bookViews>
  <sheets>
    <sheet name="v50" sheetId="1" r:id="rId1"/>
    <sheet name="v50-Kurve" sheetId="4" r:id="rId2"/>
  </sheets>
  <definedNames>
    <definedName name="_xlnm.Print_Area" localSheetId="0">'v50'!$A$1:$I$61,'v50'!$K$1:$S$61,'v50'!$A$63:$I$86,'v50'!$U$1:$AC$61</definedName>
    <definedName name="_xlnm.Print_Area" localSheetId="1">'v50-Kurve'!$A$1:$K$38</definedName>
    <definedName name="DS">'v50'!$N$55</definedName>
    <definedName name="Eingabe">'v50'!$B$18:$H$48</definedName>
    <definedName name="Ergebnis">'v50'!$F$18:$H$48</definedName>
    <definedName name="KD">'v50'!$M$55</definedName>
    <definedName name="Klassenbreite">'v50'!$N$17</definedName>
    <definedName name="MaxV_DS">'v50'!$D$54</definedName>
    <definedName name="MaxV_KD">'v50'!$D$52</definedName>
    <definedName name="MaxV_v50">'v50'!$D$55</definedName>
    <definedName name="MinV_DS">'v50'!$D$53</definedName>
    <definedName name="MinV_KD">'v50'!$D$51</definedName>
    <definedName name="MinV_v50">'v50'!$D$50</definedName>
    <definedName name="obere_Klassengrenze">'v50'!$D$55</definedName>
    <definedName name="Offset">'v50'!$N$18</definedName>
    <definedName name="Schussanzahl">'v50'!$D$56</definedName>
    <definedName name="skorr">'v50'!$R$59</definedName>
    <definedName name="Teilbereiche">'v50'!$AJ$24:$AJ$53</definedName>
    <definedName name="test">'v50'!$A$11:$C$48</definedName>
    <definedName name="TrefferIn1">'v50'!$AM$54</definedName>
    <definedName name="TrefferIn2">'v50'!$AN$54</definedName>
    <definedName name="TrefferIn3">'v50'!$AO$54</definedName>
    <definedName name="untere_Klassengrenze">'v50'!$D$50</definedName>
    <definedName name="v50korr">'v50'!$R$58</definedName>
    <definedName name="vgemessen">'v50'!$D$18:$E$48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1" l="1"/>
  <c r="I20" i="1"/>
  <c r="D54" i="1"/>
  <c r="D53" i="1"/>
  <c r="D52" i="1"/>
  <c r="D51" i="1"/>
  <c r="R2" i="4" s="1"/>
  <c r="K24" i="1"/>
  <c r="D50" i="1" l="1"/>
  <c r="Y35" i="1"/>
  <c r="AB34" i="1" s="1"/>
  <c r="AB50" i="1"/>
  <c r="AA36" i="1" l="1"/>
  <c r="Y36" i="1"/>
  <c r="AB36" i="1" s="1"/>
  <c r="Y37" i="1" l="1"/>
  <c r="M13" i="1"/>
  <c r="W13" i="1" s="1"/>
  <c r="M12" i="1"/>
  <c r="W12" i="1" s="1"/>
  <c r="R9" i="1"/>
  <c r="AB9" i="1" s="1"/>
  <c r="S12" i="1" l="1"/>
  <c r="AC12" i="1" s="1"/>
  <c r="I84" i="1"/>
  <c r="R3" i="4" l="1"/>
  <c r="Q24" i="1" l="1"/>
  <c r="P38" i="4" l="1"/>
  <c r="N7" i="4" l="1"/>
  <c r="L24" i="1"/>
  <c r="M24" i="1" s="1"/>
  <c r="AE24" i="1" l="1"/>
  <c r="M25" i="1" s="1"/>
  <c r="AF24" i="1"/>
  <c r="K25" i="1"/>
  <c r="L25" i="1" s="1"/>
  <c r="N24" i="1"/>
  <c r="AH24" i="1" s="1"/>
  <c r="O7" i="4"/>
  <c r="P7" i="4" s="1"/>
  <c r="N25" i="1" l="1"/>
  <c r="AH25" i="1" s="1"/>
  <c r="AL24" i="1"/>
  <c r="AF25" i="1"/>
  <c r="AE25" i="1"/>
  <c r="N8" i="4"/>
  <c r="Q25" i="1"/>
  <c r="O24" i="1"/>
  <c r="K26" i="1"/>
  <c r="O8" i="4"/>
  <c r="AL25" i="1" l="1"/>
  <c r="P8" i="4"/>
  <c r="Q26" i="1"/>
  <c r="L26" i="1"/>
  <c r="AF26" i="1" s="1"/>
  <c r="N9" i="4"/>
  <c r="P24" i="1"/>
  <c r="Q7" i="4"/>
  <c r="O25" i="1"/>
  <c r="AE26" i="1" l="1"/>
  <c r="Q8" i="4"/>
  <c r="P25" i="1"/>
  <c r="R24" i="1"/>
  <c r="K27" i="1"/>
  <c r="O9" i="4"/>
  <c r="P9" i="4" s="1"/>
  <c r="N26" i="1"/>
  <c r="AH26" i="1" s="1"/>
  <c r="M26" i="1"/>
  <c r="AL26" i="1" l="1"/>
  <c r="O26" i="1"/>
  <c r="Q27" i="1"/>
  <c r="N10" i="4"/>
  <c r="L27" i="1"/>
  <c r="AE27" i="1" s="1"/>
  <c r="R25" i="1"/>
  <c r="O10" i="4" l="1"/>
  <c r="P10" i="4" s="1"/>
  <c r="K28" i="1"/>
  <c r="N27" i="1"/>
  <c r="AH27" i="1" s="1"/>
  <c r="M27" i="1"/>
  <c r="AF27" i="1"/>
  <c r="Q9" i="4"/>
  <c r="P26" i="1"/>
  <c r="AL27" i="1" l="1"/>
  <c r="R26" i="1"/>
  <c r="N28" i="1"/>
  <c r="AH28" i="1" s="1"/>
  <c r="Q28" i="1"/>
  <c r="O27" i="1"/>
  <c r="L28" i="1"/>
  <c r="AE28" i="1" s="1"/>
  <c r="N11" i="4"/>
  <c r="O11" i="4" l="1"/>
  <c r="P11" i="4" s="1"/>
  <c r="K29" i="1"/>
  <c r="M28" i="1"/>
  <c r="AL28" i="1" s="1"/>
  <c r="AF28" i="1"/>
  <c r="Q10" i="4"/>
  <c r="P27" i="1"/>
  <c r="N29" i="1" l="1"/>
  <c r="AH29" i="1" s="1"/>
  <c r="R27" i="1"/>
  <c r="L29" i="1"/>
  <c r="AE29" i="1" s="1"/>
  <c r="N12" i="4"/>
  <c r="Q29" i="1"/>
  <c r="O28" i="1"/>
  <c r="AF29" i="1" l="1"/>
  <c r="O12" i="4"/>
  <c r="P12" i="4" s="1"/>
  <c r="K30" i="1"/>
  <c r="M29" i="1"/>
  <c r="AL29" i="1" s="1"/>
  <c r="Q11" i="4"/>
  <c r="P28" i="1"/>
  <c r="R28" i="1" l="1"/>
  <c r="N13" i="4"/>
  <c r="L30" i="1"/>
  <c r="O29" i="1"/>
  <c r="Q30" i="1"/>
  <c r="Q12" i="4" l="1"/>
  <c r="P29" i="1"/>
  <c r="O13" i="4"/>
  <c r="P13" i="4" s="1"/>
  <c r="K31" i="1"/>
  <c r="M30" i="1"/>
  <c r="N30" i="1"/>
  <c r="AH30" i="1" s="1"/>
  <c r="AE30" i="1"/>
  <c r="AF30" i="1"/>
  <c r="AL30" i="1" l="1"/>
  <c r="N31" i="1"/>
  <c r="AH31" i="1" s="1"/>
  <c r="R29" i="1"/>
  <c r="Q31" i="1"/>
  <c r="O30" i="1"/>
  <c r="N14" i="4"/>
  <c r="L31" i="1"/>
  <c r="M31" i="1" s="1"/>
  <c r="AL31" i="1" l="1"/>
  <c r="K32" i="1"/>
  <c r="O14" i="4"/>
  <c r="P14" i="4" s="1"/>
  <c r="AF31" i="1"/>
  <c r="AE31" i="1"/>
  <c r="Q13" i="4"/>
  <c r="P30" i="1"/>
  <c r="Q32" i="1"/>
  <c r="O31" i="1"/>
  <c r="P31" i="1" l="1"/>
  <c r="Q14" i="4"/>
  <c r="R30" i="1"/>
  <c r="N32" i="1"/>
  <c r="AH32" i="1" s="1"/>
  <c r="M32" i="1"/>
  <c r="N15" i="4"/>
  <c r="L32" i="1"/>
  <c r="AL32" i="1" l="1"/>
  <c r="K33" i="1"/>
  <c r="O15" i="4"/>
  <c r="P15" i="4" s="1"/>
  <c r="AF32" i="1"/>
  <c r="AE32" i="1"/>
  <c r="Q33" i="1"/>
  <c r="O32" i="1"/>
  <c r="R31" i="1"/>
  <c r="M33" i="1" l="1"/>
  <c r="P32" i="1"/>
  <c r="Q15" i="4"/>
  <c r="N33" i="1"/>
  <c r="AH33" i="1" s="1"/>
  <c r="L33" i="1"/>
  <c r="AF33" i="1" s="1"/>
  <c r="N16" i="4"/>
  <c r="AE33" i="1"/>
  <c r="AL33" i="1" l="1"/>
  <c r="K34" i="1"/>
  <c r="O16" i="4"/>
  <c r="P16" i="4" s="1"/>
  <c r="R32" i="1"/>
  <c r="Q34" i="1"/>
  <c r="O33" i="1"/>
  <c r="L34" i="1" l="1"/>
  <c r="AE34" i="1" s="1"/>
  <c r="N17" i="4"/>
  <c r="Q16" i="4"/>
  <c r="P33" i="1"/>
  <c r="AF34" i="1" l="1"/>
  <c r="R33" i="1"/>
  <c r="K35" i="1"/>
  <c r="O17" i="4"/>
  <c r="P17" i="4" s="1"/>
  <c r="M34" i="1"/>
  <c r="N34" i="1"/>
  <c r="AH34" i="1" s="1"/>
  <c r="AL34" i="1" l="1"/>
  <c r="O34" i="1"/>
  <c r="Q35" i="1"/>
  <c r="N18" i="4"/>
  <c r="L35" i="1"/>
  <c r="O18" i="4" l="1"/>
  <c r="P18" i="4" s="1"/>
  <c r="K36" i="1"/>
  <c r="M35" i="1"/>
  <c r="N35" i="1"/>
  <c r="AH35" i="1" s="1"/>
  <c r="AE35" i="1"/>
  <c r="P34" i="1"/>
  <c r="Q17" i="4"/>
  <c r="AF35" i="1"/>
  <c r="AL35" i="1" l="1"/>
  <c r="R34" i="1"/>
  <c r="M36" i="1"/>
  <c r="N36" i="1"/>
  <c r="AH36" i="1" s="1"/>
  <c r="N19" i="4"/>
  <c r="L36" i="1"/>
  <c r="AE36" i="1" s="1"/>
  <c r="Q36" i="1"/>
  <c r="O35" i="1"/>
  <c r="AL36" i="1" l="1"/>
  <c r="P35" i="1"/>
  <c r="Q18" i="4"/>
  <c r="K37" i="1"/>
  <c r="O19" i="4"/>
  <c r="P19" i="4" s="1"/>
  <c r="AF36" i="1"/>
  <c r="O36" i="1"/>
  <c r="Q37" i="1"/>
  <c r="P36" i="1" l="1"/>
  <c r="Q19" i="4"/>
  <c r="R35" i="1"/>
  <c r="N37" i="1"/>
  <c r="AH37" i="1" s="1"/>
  <c r="N20" i="4"/>
  <c r="L37" i="1"/>
  <c r="AE37" i="1" s="1"/>
  <c r="AF37" i="1" l="1"/>
  <c r="O20" i="4"/>
  <c r="P20" i="4" s="1"/>
  <c r="K38" i="1"/>
  <c r="M37" i="1"/>
  <c r="AL37" i="1" s="1"/>
  <c r="R36" i="1"/>
  <c r="Q38" i="1" l="1"/>
  <c r="O37" i="1"/>
  <c r="N21" i="4"/>
  <c r="L38" i="1"/>
  <c r="AE38" i="1" s="1"/>
  <c r="AF38" i="1" l="1"/>
  <c r="O21" i="4"/>
  <c r="K39" i="1"/>
  <c r="M38" i="1"/>
  <c r="N38" i="1"/>
  <c r="AH38" i="1" s="1"/>
  <c r="P37" i="1"/>
  <c r="Q20" i="4"/>
  <c r="P21" i="4"/>
  <c r="AL38" i="1" l="1"/>
  <c r="R37" i="1"/>
  <c r="N22" i="4"/>
  <c r="L39" i="1"/>
  <c r="O38" i="1"/>
  <c r="Q39" i="1"/>
  <c r="K40" i="1" l="1"/>
  <c r="O22" i="4"/>
  <c r="P22" i="4" s="1"/>
  <c r="N39" i="1"/>
  <c r="AH39" i="1" s="1"/>
  <c r="M39" i="1"/>
  <c r="AF39" i="1"/>
  <c r="Q21" i="4"/>
  <c r="P38" i="1"/>
  <c r="AE39" i="1"/>
  <c r="AL39" i="1" l="1"/>
  <c r="R38" i="1"/>
  <c r="M40" i="1"/>
  <c r="N40" i="1"/>
  <c r="AH40" i="1" s="1"/>
  <c r="O39" i="1"/>
  <c r="Q40" i="1"/>
  <c r="N23" i="4"/>
  <c r="L40" i="1"/>
  <c r="AL40" i="1" l="1"/>
  <c r="K41" i="1"/>
  <c r="O23" i="4"/>
  <c r="AF40" i="1"/>
  <c r="P23" i="4"/>
  <c r="AE40" i="1"/>
  <c r="P39" i="1"/>
  <c r="Q22" i="4"/>
  <c r="O40" i="1"/>
  <c r="Q41" i="1"/>
  <c r="M41" i="1" l="1"/>
  <c r="N41" i="1"/>
  <c r="AH41" i="1" s="1"/>
  <c r="P40" i="1"/>
  <c r="Q23" i="4"/>
  <c r="R39" i="1"/>
  <c r="N24" i="4"/>
  <c r="L41" i="1"/>
  <c r="AF41" i="1" s="1"/>
  <c r="AL41" i="1" l="1"/>
  <c r="AE41" i="1"/>
  <c r="K42" i="1"/>
  <c r="O24" i="4"/>
  <c r="P24" i="4" s="1"/>
  <c r="R40" i="1"/>
  <c r="O41" i="1"/>
  <c r="Q42" i="1"/>
  <c r="P41" i="1" l="1"/>
  <c r="Q24" i="4"/>
  <c r="L42" i="1"/>
  <c r="AE42" i="1" s="1"/>
  <c r="N25" i="4"/>
  <c r="AF42" i="1" l="1"/>
  <c r="K43" i="1"/>
  <c r="O25" i="4"/>
  <c r="P25" i="4" s="1"/>
  <c r="M42" i="1"/>
  <c r="N42" i="1"/>
  <c r="AH42" i="1" s="1"/>
  <c r="R41" i="1"/>
  <c r="AL42" i="1" l="1"/>
  <c r="O42" i="1"/>
  <c r="Q43" i="1"/>
  <c r="L43" i="1"/>
  <c r="AE43" i="1" s="1"/>
  <c r="N26" i="4"/>
  <c r="AF43" i="1" l="1"/>
  <c r="O26" i="4"/>
  <c r="K44" i="1"/>
  <c r="N43" i="1"/>
  <c r="AH43" i="1" s="1"/>
  <c r="M43" i="1"/>
  <c r="P26" i="4"/>
  <c r="P42" i="1"/>
  <c r="Q25" i="4"/>
  <c r="AL43" i="1" l="1"/>
  <c r="R42" i="1"/>
  <c r="Q44" i="1"/>
  <c r="O43" i="1"/>
  <c r="N27" i="4"/>
  <c r="L44" i="1"/>
  <c r="AF44" i="1" s="1"/>
  <c r="O27" i="4" l="1"/>
  <c r="P27" i="4" s="1"/>
  <c r="K45" i="1"/>
  <c r="N44" i="1"/>
  <c r="AH44" i="1" s="1"/>
  <c r="M44" i="1"/>
  <c r="AE44" i="1"/>
  <c r="P43" i="1"/>
  <c r="Q26" i="4"/>
  <c r="AL44" i="1" l="1"/>
  <c r="M45" i="1"/>
  <c r="R43" i="1"/>
  <c r="Q45" i="1"/>
  <c r="O44" i="1"/>
  <c r="N28" i="4"/>
  <c r="L45" i="1"/>
  <c r="AF45" i="1" s="1"/>
  <c r="K46" i="1" l="1"/>
  <c r="O28" i="4"/>
  <c r="N45" i="1"/>
  <c r="AL45" i="1" s="1"/>
  <c r="Q27" i="4"/>
  <c r="P44" i="1"/>
  <c r="AE45" i="1"/>
  <c r="P28" i="4"/>
  <c r="O45" i="1" l="1"/>
  <c r="P45" i="1" s="1"/>
  <c r="AH45" i="1"/>
  <c r="Q46" i="1"/>
  <c r="R44" i="1"/>
  <c r="M46" i="1"/>
  <c r="L46" i="1"/>
  <c r="AE46" i="1" s="1"/>
  <c r="N29" i="4"/>
  <c r="AF46" i="1" l="1"/>
  <c r="Q28" i="4"/>
  <c r="K47" i="1"/>
  <c r="O29" i="4"/>
  <c r="P29" i="4" s="1"/>
  <c r="N46" i="1"/>
  <c r="AL46" i="1" s="1"/>
  <c r="R45" i="1"/>
  <c r="Q47" i="1" l="1"/>
  <c r="AH46" i="1"/>
  <c r="O46" i="1"/>
  <c r="L47" i="1"/>
  <c r="AF47" i="1" s="1"/>
  <c r="N30" i="4"/>
  <c r="AE47" i="1" l="1"/>
  <c r="K48" i="1"/>
  <c r="O30" i="4"/>
  <c r="P30" i="4" s="1"/>
  <c r="N47" i="1"/>
  <c r="AH47" i="1" s="1"/>
  <c r="M47" i="1"/>
  <c r="Q29" i="4"/>
  <c r="P46" i="1"/>
  <c r="AL47" i="1" l="1"/>
  <c r="Q48" i="1"/>
  <c r="O47" i="1"/>
  <c r="N31" i="4"/>
  <c r="L48" i="1"/>
  <c r="AE48" i="1" s="1"/>
  <c r="R46" i="1"/>
  <c r="P47" i="1" l="1"/>
  <c r="Q30" i="4"/>
  <c r="K49" i="1"/>
  <c r="O31" i="4"/>
  <c r="P31" i="4" s="1"/>
  <c r="M48" i="1"/>
  <c r="N48" i="1"/>
  <c r="AH48" i="1" s="1"/>
  <c r="AF48" i="1"/>
  <c r="AL48" i="1" l="1"/>
  <c r="N49" i="1"/>
  <c r="AH49" i="1" s="1"/>
  <c r="Q49" i="1"/>
  <c r="O48" i="1"/>
  <c r="N32" i="4"/>
  <c r="L49" i="1"/>
  <c r="AF49" i="1" s="1"/>
  <c r="R47" i="1"/>
  <c r="AE49" i="1" l="1"/>
  <c r="O32" i="4"/>
  <c r="P32" i="4" s="1"/>
  <c r="K50" i="1"/>
  <c r="M49" i="1"/>
  <c r="AL49" i="1" s="1"/>
  <c r="Q31" i="4"/>
  <c r="P48" i="1"/>
  <c r="R48" i="1" l="1"/>
  <c r="Q50" i="1"/>
  <c r="O49" i="1"/>
  <c r="N33" i="4"/>
  <c r="L50" i="1"/>
  <c r="AE50" i="1" s="1"/>
  <c r="O33" i="4" l="1"/>
  <c r="P33" i="4" s="1"/>
  <c r="K51" i="1"/>
  <c r="N50" i="1"/>
  <c r="AH50" i="1" s="1"/>
  <c r="M50" i="1"/>
  <c r="AF50" i="1"/>
  <c r="Q32" i="4"/>
  <c r="P49" i="1"/>
  <c r="AL50" i="1" l="1"/>
  <c r="R49" i="1"/>
  <c r="N51" i="1"/>
  <c r="AH51" i="1" s="1"/>
  <c r="Q51" i="1"/>
  <c r="O50" i="1"/>
  <c r="N34" i="4"/>
  <c r="L51" i="1"/>
  <c r="AF51" i="1" s="1"/>
  <c r="AE51" i="1" l="1"/>
  <c r="O34" i="4"/>
  <c r="P34" i="4" s="1"/>
  <c r="K52" i="1"/>
  <c r="M51" i="1"/>
  <c r="AL51" i="1" s="1"/>
  <c r="Q33" i="4"/>
  <c r="P50" i="1"/>
  <c r="Q52" i="1" l="1"/>
  <c r="O51" i="1"/>
  <c r="R50" i="1"/>
  <c r="L52" i="1"/>
  <c r="AE52" i="1" s="1"/>
  <c r="N35" i="4"/>
  <c r="AF52" i="1" l="1"/>
  <c r="K53" i="1"/>
  <c r="O35" i="4"/>
  <c r="P35" i="4" s="1"/>
  <c r="N52" i="1"/>
  <c r="AH52" i="1" s="1"/>
  <c r="M52" i="1"/>
  <c r="P51" i="1"/>
  <c r="Q34" i="4"/>
  <c r="AL52" i="1" l="1"/>
  <c r="R51" i="1"/>
  <c r="Q53" i="1"/>
  <c r="O52" i="1"/>
  <c r="N36" i="4"/>
  <c r="L53" i="1"/>
  <c r="N16" i="1"/>
  <c r="O36" i="4" l="1"/>
  <c r="P36" i="4" s="1"/>
  <c r="D55" i="1"/>
  <c r="N53" i="1"/>
  <c r="M53" i="1"/>
  <c r="AI53" i="1" s="1"/>
  <c r="AE53" i="1"/>
  <c r="Q35" i="4"/>
  <c r="P52" i="1"/>
  <c r="AF53" i="1"/>
  <c r="AI52" i="1" l="1"/>
  <c r="AL53" i="1"/>
  <c r="N55" i="1"/>
  <c r="D58" i="1" s="1"/>
  <c r="AH53" i="1"/>
  <c r="AJ53" i="1" s="1"/>
  <c r="R52" i="1"/>
  <c r="O53" i="1"/>
  <c r="M55" i="1"/>
  <c r="N19" i="1"/>
  <c r="P39" i="4"/>
  <c r="AI51" i="1" l="1"/>
  <c r="AJ51" i="1" s="1"/>
  <c r="AJ52" i="1"/>
  <c r="AL54" i="1"/>
  <c r="M57" i="1"/>
  <c r="P40" i="4"/>
  <c r="P53" i="1"/>
  <c r="Q36" i="4"/>
  <c r="D57" i="1"/>
  <c r="D56" i="1" s="1"/>
  <c r="AI50" i="1" l="1"/>
  <c r="AJ50" i="1" s="1"/>
  <c r="AR53" i="1"/>
  <c r="AT53" i="1"/>
  <c r="AM51" i="1"/>
  <c r="AM52" i="1"/>
  <c r="AM53" i="1"/>
  <c r="AQ52" i="1"/>
  <c r="AQ53" i="1"/>
  <c r="AR52" i="1" s="1"/>
  <c r="I73" i="1"/>
  <c r="I74" i="1"/>
  <c r="I85" i="1"/>
  <c r="I83" i="1"/>
  <c r="P41" i="4"/>
  <c r="R53" i="1"/>
  <c r="R55" i="1" s="1"/>
  <c r="S53" i="1" s="1"/>
  <c r="AI49" i="1" l="1"/>
  <c r="AJ49" i="1" s="1"/>
  <c r="AR51" i="1"/>
  <c r="AT52" i="1"/>
  <c r="AT51" i="1"/>
  <c r="AM50" i="1"/>
  <c r="AQ51" i="1"/>
  <c r="AR50" i="1" s="1"/>
  <c r="R58"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P42" i="4"/>
  <c r="AI48" i="1" l="1"/>
  <c r="AJ48" i="1" s="1"/>
  <c r="AT50" i="1"/>
  <c r="AS53" i="1"/>
  <c r="AU53" i="1"/>
  <c r="AQ50" i="1"/>
  <c r="AS52" i="1" s="1"/>
  <c r="AM49" i="1"/>
  <c r="P43" i="4"/>
  <c r="S55" i="1"/>
  <c r="R59" i="1" s="1"/>
  <c r="O3" i="4" s="1"/>
  <c r="O2" i="4"/>
  <c r="AI47" i="1" l="1"/>
  <c r="AJ47" i="1" s="1"/>
  <c r="AT49" i="1"/>
  <c r="AU52" i="1"/>
  <c r="AR49" i="1"/>
  <c r="AQ49" i="1"/>
  <c r="AM48" i="1"/>
  <c r="U7" i="4"/>
  <c r="U10" i="4"/>
  <c r="U8" i="4"/>
  <c r="R38"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9" i="4"/>
  <c r="R40" i="4"/>
  <c r="R41" i="4"/>
  <c r="AB39" i="1"/>
  <c r="AB40" i="1"/>
  <c r="R42" i="4"/>
  <c r="AB41" i="1"/>
  <c r="AB42" i="1"/>
  <c r="R43" i="4"/>
  <c r="P44" i="4"/>
  <c r="AI46" i="1" l="1"/>
  <c r="AJ46" i="1" s="1"/>
  <c r="AU51" i="1"/>
  <c r="AS51" i="1"/>
  <c r="AT48" i="1"/>
  <c r="AR48" i="1"/>
  <c r="AQ48" i="1"/>
  <c r="AM47" i="1"/>
  <c r="P45" i="4"/>
  <c r="R44" i="4"/>
  <c r="AI45" i="1" l="1"/>
  <c r="AJ45" i="1" s="1"/>
  <c r="AU50" i="1"/>
  <c r="AT47" i="1"/>
  <c r="AS50" i="1"/>
  <c r="AR47" i="1"/>
  <c r="AQ47" i="1"/>
  <c r="AM46" i="1"/>
  <c r="R45" i="4"/>
  <c r="P46" i="4"/>
  <c r="AI44" i="1" l="1"/>
  <c r="AJ44" i="1" s="1"/>
  <c r="AR46" i="1"/>
  <c r="AT46" i="1"/>
  <c r="AU49" i="1"/>
  <c r="AS49" i="1"/>
  <c r="AQ46" i="1"/>
  <c r="AM45" i="1"/>
  <c r="R46" i="4"/>
  <c r="P47" i="4"/>
  <c r="AI43" i="1" l="1"/>
  <c r="AJ43" i="1" s="1"/>
  <c r="AR45" i="1"/>
  <c r="AS48" i="1"/>
  <c r="AT45" i="1"/>
  <c r="AU48" i="1"/>
  <c r="AQ45" i="1"/>
  <c r="AT44" i="1" s="1"/>
  <c r="R47" i="4"/>
  <c r="P48" i="4"/>
  <c r="AI42" i="1" l="1"/>
  <c r="AJ42" i="1" s="1"/>
  <c r="AR44" i="1"/>
  <c r="AS47" i="1"/>
  <c r="AU47" i="1"/>
  <c r="AQ44" i="1"/>
  <c r="R48" i="4"/>
  <c r="P49" i="4"/>
  <c r="AI41" i="1" l="1"/>
  <c r="AJ41" i="1" s="1"/>
  <c r="AU46" i="1"/>
  <c r="AR43" i="1"/>
  <c r="AS46" i="1"/>
  <c r="AT43" i="1"/>
  <c r="AQ43" i="1"/>
  <c r="P50" i="4"/>
  <c r="R49" i="4"/>
  <c r="AI40" i="1" l="1"/>
  <c r="AJ40" i="1" s="1"/>
  <c r="AU45" i="1"/>
  <c r="AS45" i="1"/>
  <c r="AT42" i="1"/>
  <c r="AR42" i="1"/>
  <c r="AQ42" i="1"/>
  <c r="AS44" i="1" s="1"/>
  <c r="R50" i="4"/>
  <c r="P51" i="4"/>
  <c r="AI39" i="1" l="1"/>
  <c r="AJ39" i="1" s="1"/>
  <c r="AR41" i="1"/>
  <c r="AT41" i="1"/>
  <c r="AU44" i="1"/>
  <c r="AQ41" i="1"/>
  <c r="AU43" i="1" s="1"/>
  <c r="R51" i="4"/>
  <c r="P52" i="4"/>
  <c r="AI38" i="1" l="1"/>
  <c r="AJ38" i="1" s="1"/>
  <c r="AS43" i="1"/>
  <c r="AT40" i="1"/>
  <c r="AR40" i="1"/>
  <c r="AQ40" i="1"/>
  <c r="R52" i="4"/>
  <c r="P53" i="4"/>
  <c r="AI37" i="1" l="1"/>
  <c r="AJ37" i="1" s="1"/>
  <c r="AS42" i="1"/>
  <c r="AT39" i="1"/>
  <c r="AR39" i="1"/>
  <c r="AU42" i="1"/>
  <c r="AQ39" i="1"/>
  <c r="P54" i="4"/>
  <c r="R53" i="4"/>
  <c r="AI36" i="1" l="1"/>
  <c r="AJ36" i="1" s="1"/>
  <c r="AS41" i="1"/>
  <c r="AT38" i="1"/>
  <c r="AU41" i="1"/>
  <c r="AR38" i="1"/>
  <c r="AQ38" i="1"/>
  <c r="AT37" i="1" s="1"/>
  <c r="P55" i="4"/>
  <c r="R54" i="4"/>
  <c r="AI35" i="1" l="1"/>
  <c r="AJ35" i="1" s="1"/>
  <c r="AR37" i="1"/>
  <c r="AS40" i="1"/>
  <c r="AU40" i="1"/>
  <c r="AQ37" i="1"/>
  <c r="P56" i="4"/>
  <c r="R55" i="4"/>
  <c r="AI34" i="1" l="1"/>
  <c r="AJ34" i="1" s="1"/>
  <c r="AU39" i="1"/>
  <c r="AT36" i="1"/>
  <c r="AR36" i="1"/>
  <c r="AS39" i="1"/>
  <c r="AQ36" i="1"/>
  <c r="AU38" i="1" s="1"/>
  <c r="R56" i="4"/>
  <c r="P57" i="4"/>
  <c r="AI33" i="1" l="1"/>
  <c r="AJ33" i="1" s="1"/>
  <c r="AS38" i="1"/>
  <c r="AT35" i="1"/>
  <c r="AR35" i="1"/>
  <c r="AQ35" i="1"/>
  <c r="AS37" i="1" s="1"/>
  <c r="R57" i="4"/>
  <c r="P58" i="4"/>
  <c r="AI32" i="1" l="1"/>
  <c r="AJ32" i="1" s="1"/>
  <c r="AT34" i="1"/>
  <c r="AU37" i="1"/>
  <c r="AR34" i="1"/>
  <c r="AQ34" i="1"/>
  <c r="P59" i="4"/>
  <c r="R58" i="4"/>
  <c r="AI31" i="1" l="1"/>
  <c r="AJ31" i="1" s="1"/>
  <c r="AU36" i="1"/>
  <c r="AT33" i="1"/>
  <c r="AS36" i="1"/>
  <c r="AR33" i="1"/>
  <c r="AQ33" i="1"/>
  <c r="AU35" i="1" s="1"/>
  <c r="R59" i="4"/>
  <c r="P60" i="4"/>
  <c r="AI30" i="1" l="1"/>
  <c r="AJ30" i="1" s="1"/>
  <c r="AR32" i="1"/>
  <c r="AT32" i="1"/>
  <c r="AS35" i="1"/>
  <c r="AQ32" i="1"/>
  <c r="P61" i="4"/>
  <c r="R60" i="4"/>
  <c r="AI29" i="1" l="1"/>
  <c r="AJ29" i="1" s="1"/>
  <c r="AU34" i="1"/>
  <c r="AT31" i="1"/>
  <c r="AS34" i="1"/>
  <c r="AR31" i="1"/>
  <c r="AQ31" i="1"/>
  <c r="AR30" i="1" s="1"/>
  <c r="R61" i="4"/>
  <c r="P62" i="4"/>
  <c r="AI28" i="1" l="1"/>
  <c r="AJ28" i="1" s="1"/>
  <c r="AU33" i="1"/>
  <c r="AT30" i="1"/>
  <c r="AS33" i="1"/>
  <c r="AQ30" i="1"/>
  <c r="AR29" i="1" s="1"/>
  <c r="P63" i="4"/>
  <c r="R62" i="4"/>
  <c r="AI27" i="1" l="1"/>
  <c r="AJ27" i="1" s="1"/>
  <c r="AT29" i="1"/>
  <c r="AU32" i="1"/>
  <c r="AS32" i="1"/>
  <c r="AQ29" i="1"/>
  <c r="AT28" i="1" s="1"/>
  <c r="R63" i="4"/>
  <c r="P64" i="4"/>
  <c r="AI26" i="1" l="1"/>
  <c r="AJ26" i="1" s="1"/>
  <c r="AU31" i="1"/>
  <c r="AS31" i="1"/>
  <c r="AR28" i="1"/>
  <c r="AQ28" i="1"/>
  <c r="AR27" i="1" s="1"/>
  <c r="R64" i="4"/>
  <c r="P65" i="4"/>
  <c r="AI25" i="1" l="1"/>
  <c r="AJ25" i="1" s="1"/>
  <c r="AU30" i="1"/>
  <c r="AS30" i="1"/>
  <c r="AT27" i="1"/>
  <c r="AQ27" i="1"/>
  <c r="AR26" i="1" s="1"/>
  <c r="R65" i="4"/>
  <c r="P66" i="4"/>
  <c r="AI24" i="1" l="1"/>
  <c r="AJ24" i="1" s="1"/>
  <c r="AQ24" i="1" s="1"/>
  <c r="AS25" i="1" s="1"/>
  <c r="AS29" i="1"/>
  <c r="AU29" i="1"/>
  <c r="AT26" i="1"/>
  <c r="AQ26" i="1"/>
  <c r="AT25" i="1" s="1"/>
  <c r="R66" i="4"/>
  <c r="P67" i="4"/>
  <c r="AN24" i="1" l="1"/>
  <c r="AN25" i="1" s="1"/>
  <c r="AN26" i="1" s="1"/>
  <c r="AN27" i="1" s="1"/>
  <c r="AN28" i="1" s="1"/>
  <c r="AN29" i="1" s="1"/>
  <c r="AN30" i="1" s="1"/>
  <c r="AN31" i="1" s="1"/>
  <c r="AN32" i="1" s="1"/>
  <c r="AN33" i="1" s="1"/>
  <c r="AN34" i="1" s="1"/>
  <c r="AN35" i="1" s="1"/>
  <c r="AN36" i="1" s="1"/>
  <c r="AN37" i="1" s="1"/>
  <c r="AN38" i="1" s="1"/>
  <c r="AN39" i="1" s="1"/>
  <c r="AN40" i="1" s="1"/>
  <c r="AN41" i="1" s="1"/>
  <c r="AN42" i="1" s="1"/>
  <c r="AN43" i="1" s="1"/>
  <c r="AN44" i="1" s="1"/>
  <c r="AN45" i="1" s="1"/>
  <c r="AN46" i="1" s="1"/>
  <c r="AN47" i="1" s="1"/>
  <c r="AN48" i="1" s="1"/>
  <c r="AN49" i="1" s="1"/>
  <c r="AN50" i="1" s="1"/>
  <c r="AN51" i="1" s="1"/>
  <c r="AN52" i="1" s="1"/>
  <c r="AN53" i="1" s="1"/>
  <c r="AO24" i="1"/>
  <c r="AO25" i="1" s="1"/>
  <c r="AO26" i="1" s="1"/>
  <c r="AO27" i="1" s="1"/>
  <c r="AO28" i="1" s="1"/>
  <c r="AO29" i="1" s="1"/>
  <c r="AO30" i="1" s="1"/>
  <c r="AO31" i="1" s="1"/>
  <c r="AO32" i="1" s="1"/>
  <c r="AO33" i="1" s="1"/>
  <c r="AO34" i="1" s="1"/>
  <c r="AO35" i="1" s="1"/>
  <c r="AO36" i="1" s="1"/>
  <c r="AO37" i="1" s="1"/>
  <c r="AO38" i="1" s="1"/>
  <c r="AO39" i="1" s="1"/>
  <c r="AO40" i="1" s="1"/>
  <c r="AO41" i="1" s="1"/>
  <c r="AO42" i="1" s="1"/>
  <c r="AO43" i="1" s="1"/>
  <c r="AO44" i="1" s="1"/>
  <c r="AO45" i="1" s="1"/>
  <c r="AO46" i="1" s="1"/>
  <c r="AO47" i="1" s="1"/>
  <c r="AO48" i="1" s="1"/>
  <c r="AO49" i="1" s="1"/>
  <c r="AO50" i="1" s="1"/>
  <c r="AO51" i="1" s="1"/>
  <c r="AO52" i="1" s="1"/>
  <c r="AO53" i="1" s="1"/>
  <c r="AU24" i="1"/>
  <c r="AQ25" i="1"/>
  <c r="AU26" i="1" s="1"/>
  <c r="AM24" i="1"/>
  <c r="AM25" i="1" s="1"/>
  <c r="AM26" i="1" s="1"/>
  <c r="AM27" i="1" s="1"/>
  <c r="AM28" i="1" s="1"/>
  <c r="AM29" i="1" s="1"/>
  <c r="AM30" i="1" s="1"/>
  <c r="AM31" i="1" s="1"/>
  <c r="AM32" i="1" s="1"/>
  <c r="AM33" i="1" s="1"/>
  <c r="AM34" i="1" s="1"/>
  <c r="AM35" i="1" s="1"/>
  <c r="AM36" i="1" s="1"/>
  <c r="AM37" i="1" s="1"/>
  <c r="AM38" i="1" s="1"/>
  <c r="AM39" i="1" s="1"/>
  <c r="AM40" i="1" s="1"/>
  <c r="AM41" i="1" s="1"/>
  <c r="AM42" i="1" s="1"/>
  <c r="AM43" i="1" s="1"/>
  <c r="AM44" i="1" s="1"/>
  <c r="AS24" i="1"/>
  <c r="I75" i="1"/>
  <c r="I79" i="1"/>
  <c r="I77" i="1"/>
  <c r="AR24" i="1"/>
  <c r="AS28" i="1"/>
  <c r="AU28" i="1"/>
  <c r="AT24" i="1"/>
  <c r="AT54" i="1" s="1"/>
  <c r="AU25" i="1"/>
  <c r="AU27" i="1"/>
  <c r="AS27" i="1"/>
  <c r="AR25" i="1"/>
  <c r="AS26" i="1"/>
  <c r="R67" i="4"/>
  <c r="P68" i="4"/>
  <c r="AN54" i="1" l="1"/>
  <c r="I78" i="1" s="1"/>
  <c r="AM54" i="1"/>
  <c r="I76" i="1" s="1"/>
  <c r="AO54" i="1"/>
  <c r="I80" i="1" s="1"/>
  <c r="AS54" i="1"/>
  <c r="AU54" i="1"/>
  <c r="I82" i="1" s="1"/>
  <c r="AR54" i="1"/>
  <c r="R68" i="4"/>
  <c r="P69" i="4"/>
  <c r="AM55" i="1" l="1"/>
  <c r="I81" i="1"/>
  <c r="P70" i="4"/>
  <c r="R69" i="4"/>
  <c r="P71" i="4" l="1"/>
  <c r="R70" i="4"/>
  <c r="P72" i="4" l="1"/>
  <c r="R71" i="4"/>
  <c r="P73" i="4" l="1"/>
  <c r="R72" i="4"/>
  <c r="P74" i="4" l="1"/>
  <c r="R73" i="4"/>
  <c r="P75" i="4" l="1"/>
  <c r="R74" i="4"/>
  <c r="R75" i="4" l="1"/>
  <c r="P76" i="4"/>
  <c r="P77" i="4" l="1"/>
  <c r="R76" i="4"/>
  <c r="P78" i="4" l="1"/>
  <c r="R77" i="4"/>
  <c r="P79" i="4" l="1"/>
  <c r="R78" i="4"/>
  <c r="R79" i="4" l="1"/>
  <c r="P80" i="4"/>
  <c r="P81" i="4" l="1"/>
  <c r="R80" i="4"/>
  <c r="R81" i="4" l="1"/>
  <c r="P82" i="4"/>
  <c r="P83" i="4" l="1"/>
  <c r="R82" i="4"/>
  <c r="P84" i="4" l="1"/>
  <c r="R83" i="4"/>
  <c r="R84" i="4" l="1"/>
  <c r="P85" i="4"/>
  <c r="P86" i="4" l="1"/>
  <c r="R85" i="4"/>
  <c r="P87" i="4" l="1"/>
  <c r="R86" i="4"/>
  <c r="R87" i="4" l="1"/>
  <c r="P88" i="4"/>
  <c r="R88" i="4" l="1"/>
  <c r="P89" i="4"/>
  <c r="R89" i="4" l="1"/>
  <c r="P90" i="4"/>
  <c r="R90" i="4" l="1"/>
  <c r="P91" i="4"/>
  <c r="R91" i="4" l="1"/>
  <c r="P92" i="4"/>
  <c r="P93" i="4" l="1"/>
  <c r="R92" i="4"/>
  <c r="R93" i="4" l="1"/>
  <c r="P94" i="4"/>
  <c r="P95" i="4" l="1"/>
  <c r="R94" i="4"/>
  <c r="P96" i="4" l="1"/>
  <c r="R95" i="4"/>
  <c r="P97" i="4" l="1"/>
  <c r="R96" i="4"/>
  <c r="R97" i="4" l="1"/>
  <c r="P98" i="4"/>
  <c r="P99" i="4" l="1"/>
  <c r="R98" i="4"/>
  <c r="P100" i="4" l="1"/>
  <c r="R99" i="4"/>
  <c r="R100" i="4" l="1"/>
  <c r="P101" i="4"/>
  <c r="P102" i="4" l="1"/>
  <c r="R101" i="4"/>
  <c r="R102" i="4" l="1"/>
  <c r="P103" i="4"/>
  <c r="R103" i="4" l="1"/>
  <c r="P104" i="4"/>
  <c r="P105" i="4" l="1"/>
  <c r="R104" i="4"/>
  <c r="R105" i="4" l="1"/>
  <c r="P106" i="4"/>
  <c r="R106" i="4" l="1"/>
  <c r="P107" i="4"/>
  <c r="R107" i="4" l="1"/>
  <c r="P108" i="4"/>
  <c r="R108" i="4" l="1"/>
  <c r="P109" i="4"/>
  <c r="P110" i="4" l="1"/>
  <c r="R109" i="4"/>
  <c r="P111" i="4" l="1"/>
  <c r="R110" i="4"/>
  <c r="R111" i="4" l="1"/>
  <c r="P112" i="4"/>
  <c r="R112" i="4" l="1"/>
  <c r="P113" i="4"/>
  <c r="P114" i="4" l="1"/>
  <c r="R113" i="4"/>
  <c r="P115" i="4" l="1"/>
  <c r="R114" i="4"/>
  <c r="R115" i="4" l="1"/>
  <c r="P116" i="4"/>
  <c r="R116" i="4" l="1"/>
  <c r="P117" i="4"/>
  <c r="R117" i="4" l="1"/>
  <c r="P118" i="4"/>
  <c r="R118" i="4" l="1"/>
  <c r="P119" i="4"/>
  <c r="R119" i="4" l="1"/>
  <c r="P120" i="4"/>
  <c r="P121" i="4" l="1"/>
  <c r="R120" i="4"/>
  <c r="P122" i="4" l="1"/>
  <c r="R121" i="4"/>
  <c r="P123" i="4" l="1"/>
  <c r="R122" i="4"/>
  <c r="P124" i="4" l="1"/>
  <c r="R123" i="4"/>
  <c r="P125" i="4" l="1"/>
  <c r="R124" i="4"/>
  <c r="R125" i="4" l="1"/>
  <c r="P126" i="4"/>
  <c r="P127" i="4" l="1"/>
  <c r="R126" i="4"/>
  <c r="R127" i="4" l="1"/>
  <c r="P128" i="4"/>
  <c r="P129" i="4" l="1"/>
  <c r="R128" i="4"/>
  <c r="P130" i="4" l="1"/>
  <c r="R129" i="4"/>
  <c r="R130" i="4" l="1"/>
  <c r="P131" i="4"/>
  <c r="R131" i="4" l="1"/>
  <c r="P132" i="4"/>
  <c r="R132" i="4" l="1"/>
  <c r="P133" i="4"/>
  <c r="R133" i="4" l="1"/>
  <c r="P134" i="4"/>
  <c r="R134" i="4" l="1"/>
  <c r="P135" i="4"/>
  <c r="R135" i="4" l="1"/>
  <c r="P136" i="4"/>
  <c r="R136" i="4" l="1"/>
  <c r="P137" i="4"/>
  <c r="P138" i="4" l="1"/>
  <c r="R137" i="4"/>
  <c r="R138" i="4" l="1"/>
  <c r="P139" i="4"/>
  <c r="R139" i="4" l="1"/>
  <c r="P140" i="4"/>
  <c r="R140" i="4" l="1"/>
  <c r="P141" i="4"/>
  <c r="R141" i="4" l="1"/>
  <c r="P142" i="4"/>
  <c r="R142" i="4" l="1"/>
  <c r="P143" i="4"/>
  <c r="R143" i="4" l="1"/>
  <c r="P144" i="4"/>
  <c r="R144" i="4" l="1"/>
  <c r="P145" i="4"/>
  <c r="P146" i="4" l="1"/>
  <c r="R145" i="4"/>
  <c r="P147" i="4" l="1"/>
  <c r="R146" i="4"/>
  <c r="P148" i="4" l="1"/>
  <c r="R147" i="4"/>
  <c r="P149" i="4" l="1"/>
  <c r="R148" i="4"/>
  <c r="P150" i="4" l="1"/>
  <c r="R149" i="4"/>
  <c r="R150" i="4" l="1"/>
  <c r="P151" i="4"/>
  <c r="P152" i="4" l="1"/>
  <c r="R151" i="4"/>
  <c r="P153" i="4" l="1"/>
  <c r="R152" i="4"/>
  <c r="P154" i="4" l="1"/>
  <c r="R153" i="4"/>
  <c r="P155" i="4" l="1"/>
  <c r="R154" i="4"/>
  <c r="R155" i="4" l="1"/>
  <c r="P156" i="4"/>
  <c r="R156" i="4" l="1"/>
  <c r="P157" i="4"/>
  <c r="R157" i="4" l="1"/>
  <c r="P158" i="4"/>
  <c r="R158" i="4" l="1"/>
  <c r="P159" i="4"/>
  <c r="R159" i="4" l="1"/>
  <c r="P160" i="4"/>
  <c r="R160" i="4" l="1"/>
  <c r="P161" i="4"/>
  <c r="R161" i="4" l="1"/>
  <c r="P162" i="4"/>
  <c r="R162" i="4" l="1"/>
  <c r="P163" i="4"/>
  <c r="P164" i="4" l="1"/>
  <c r="R163" i="4"/>
  <c r="P165" i="4" l="1"/>
  <c r="R164" i="4"/>
  <c r="R165" i="4" l="1"/>
  <c r="P166" i="4"/>
  <c r="R166" i="4" l="1"/>
  <c r="P167" i="4"/>
  <c r="R167" i="4" l="1"/>
  <c r="P168" i="4"/>
  <c r="P169" i="4" l="1"/>
  <c r="R168" i="4"/>
  <c r="R169" i="4" l="1"/>
  <c r="P170" i="4"/>
  <c r="P171" i="4" l="1"/>
  <c r="R170" i="4"/>
  <c r="R171" i="4" l="1"/>
  <c r="P172" i="4"/>
  <c r="R172" i="4" l="1"/>
  <c r="P173" i="4"/>
  <c r="P174" i="4" l="1"/>
  <c r="R173" i="4"/>
  <c r="R174" i="4" l="1"/>
  <c r="P175" i="4"/>
  <c r="P176" i="4" l="1"/>
  <c r="R175" i="4"/>
  <c r="R176" i="4" l="1"/>
  <c r="P177" i="4"/>
  <c r="P178" i="4" l="1"/>
  <c r="R177" i="4"/>
  <c r="R178" i="4" l="1"/>
  <c r="P179" i="4"/>
  <c r="P180" i="4" l="1"/>
  <c r="R179" i="4"/>
  <c r="P181" i="4" l="1"/>
  <c r="R180" i="4"/>
  <c r="P182" i="4" l="1"/>
  <c r="R181" i="4"/>
  <c r="P183" i="4" l="1"/>
  <c r="R182" i="4"/>
  <c r="R183" i="4" l="1"/>
  <c r="P184" i="4"/>
  <c r="P185" i="4" l="1"/>
  <c r="R184" i="4"/>
  <c r="P186" i="4" l="1"/>
  <c r="R185" i="4"/>
  <c r="P187" i="4" l="1"/>
  <c r="R186" i="4"/>
  <c r="R187" i="4" l="1"/>
  <c r="P188" i="4"/>
  <c r="R188" i="4" l="1"/>
  <c r="P189" i="4"/>
  <c r="R189" i="4" l="1"/>
  <c r="P190" i="4"/>
  <c r="P191" i="4" l="1"/>
  <c r="R190" i="4"/>
  <c r="P192" i="4" l="1"/>
  <c r="R191" i="4"/>
  <c r="R192" i="4" l="1"/>
  <c r="P193" i="4"/>
  <c r="R193" i="4" l="1"/>
  <c r="P194" i="4"/>
  <c r="R194" i="4" l="1"/>
  <c r="P195" i="4"/>
  <c r="R195" i="4" l="1"/>
  <c r="P196" i="4"/>
  <c r="P197" i="4" l="1"/>
  <c r="R196" i="4"/>
  <c r="P198" i="4" l="1"/>
  <c r="R197" i="4"/>
  <c r="R198" i="4" l="1"/>
  <c r="P199" i="4"/>
  <c r="R199" i="4" l="1"/>
  <c r="P200" i="4"/>
  <c r="R200" i="4" l="1"/>
  <c r="P201" i="4"/>
  <c r="P202" i="4" l="1"/>
  <c r="R201" i="4"/>
  <c r="R202" i="4" l="1"/>
  <c r="P203" i="4"/>
  <c r="P204" i="4" l="1"/>
  <c r="R203" i="4"/>
  <c r="P205" i="4" l="1"/>
  <c r="R204" i="4"/>
  <c r="R205" i="4" l="1"/>
  <c r="P206" i="4"/>
  <c r="R206" i="4" l="1"/>
  <c r="P207" i="4"/>
  <c r="R207" i="4" l="1"/>
  <c r="P208" i="4"/>
  <c r="P209" i="4" l="1"/>
  <c r="R208" i="4"/>
  <c r="P210" i="4" l="1"/>
  <c r="R209" i="4"/>
  <c r="P211" i="4" l="1"/>
  <c r="R210" i="4"/>
  <c r="R211" i="4" l="1"/>
  <c r="P212" i="4"/>
  <c r="P213" i="4" l="1"/>
  <c r="R212" i="4"/>
  <c r="R213" i="4" l="1"/>
  <c r="P214" i="4"/>
  <c r="P215" i="4" l="1"/>
  <c r="R214" i="4"/>
  <c r="R215" i="4" l="1"/>
  <c r="P216" i="4"/>
  <c r="P217" i="4" l="1"/>
  <c r="R216" i="4"/>
  <c r="P218" i="4" l="1"/>
  <c r="R217" i="4"/>
  <c r="P219" i="4" l="1"/>
  <c r="R218" i="4"/>
  <c r="P220" i="4" l="1"/>
  <c r="R220" i="4" s="1"/>
  <c r="R21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Florian Markus MAYER</author>
  </authors>
  <commentList>
    <comment ref="N16" authorId="0" shapeId="0" xr:uid="{F8D116AF-4F46-4A31-8E33-48E6C1816295}">
      <text>
        <r>
          <rPr>
            <sz val="9"/>
            <color indexed="81"/>
            <rFont val="Segoe UI"/>
            <family val="2"/>
          </rPr>
          <t>Ergibt sich aus den tiefsten Messwert (abgerundet) sowie dem Offset</t>
        </r>
      </text>
    </comment>
    <comment ref="N17" authorId="0" shapeId="0" xr:uid="{46F8276D-EDD1-44FF-A95C-3E1F56E9B80F}">
      <text>
        <r>
          <rPr>
            <b/>
            <sz val="9"/>
            <color indexed="81"/>
            <rFont val="Segoe UI"/>
            <family val="2"/>
          </rPr>
          <t>Die fixe Klassenbreite von 5m/s eignet sich gut für Materialien mit kleiner Standardabweichung (z.B. VPAM-PM), jenes mit 10m/s für Materialien mit größerer Standardabweichung (z.B. VPAM-BSW). Obwohl die Auswertung theoretisch unabhängig von der Klassenbreite ist, sollten, um die Vergleichbarkeit bestmöglich sicher zu stellen, nicht von diesen beiden Klassenbreiten abgewichen werden.</t>
        </r>
      </text>
    </comment>
    <comment ref="P17" authorId="0" shapeId="0" xr:uid="{7EB7F215-5335-4C47-B2ED-E3F35335BA62}">
      <text>
        <r>
          <rPr>
            <b/>
            <sz val="9"/>
            <color indexed="81"/>
            <rFont val="Segoe UI"/>
            <family val="2"/>
          </rPr>
          <t>Die fixe Klassenbreite von 5m/s eignet sich gut für Materialien mit kleiner Standardabweichung (z.B. VPAM-PM), jenes mit 10m/s für Materialien mit größerer Standardabweichung (z.B. VPAM-BSW). Obwohl die Auswertung theoretisch unabhängig von der Klassenbreite ist, sollten, um die Vergleichbarkeit bestmöglich sicher zu stellen, nicht von diesen beiden Klassenbreiten abgewichen werden.</t>
        </r>
      </text>
    </comment>
    <comment ref="B18" authorId="0" shapeId="0" xr:uid="{886ACA72-C378-4D9C-AAB5-2D7096E94248}">
      <text>
        <r>
          <rPr>
            <b/>
            <sz val="9"/>
            <color indexed="81"/>
            <rFont val="Segoe UI"/>
            <family val="2"/>
          </rPr>
          <t>Es werden drei Zellenbereiche definiert: 1.) B18 bis H48 wird "Eingabe"   
2.) D18 bis E48 wird "vgemessen"              3.) F18 bis H48 wird "Ergebnis"</t>
        </r>
        <r>
          <rPr>
            <sz val="9"/>
            <color indexed="81"/>
            <rFont val="Segoe UI"/>
            <family val="2"/>
          </rPr>
          <t xml:space="preserve">
In Spalte 18 stehen jeweils die Benennungen, sind aber in weiss geschrieben, damit man sie nicht sieht!</t>
        </r>
      </text>
    </comment>
    <comment ref="N18" authorId="0" shapeId="0" xr:uid="{278593C0-C4DC-414F-A709-07EAD61712EC}">
      <text>
        <r>
          <rPr>
            <b/>
            <sz val="9"/>
            <color indexed="81"/>
            <rFont val="Segoe UI"/>
            <family val="2"/>
          </rPr>
          <t>Der Offest "verschiebt" die v-Werte in der v50-Tabelle - keine Auswirkung, außer Ergebnisse werden "aus der v50-Tabelle hinausgeschoben", dann ändert sich die Anzahl der gewerteten Schüsse und somit die korrigierte Standardabweichung s</t>
        </r>
        <r>
          <rPr>
            <b/>
            <vertAlign val="subscript"/>
            <sz val="9"/>
            <color indexed="81"/>
            <rFont val="Segoe UI"/>
            <family val="2"/>
          </rPr>
          <t>korr</t>
        </r>
        <r>
          <rPr>
            <b/>
            <sz val="9"/>
            <color indexed="81"/>
            <rFont val="Segoe UI"/>
            <family val="2"/>
          </rPr>
          <t xml:space="preserve">!! </t>
        </r>
      </text>
    </comment>
    <comment ref="I19" authorId="0" shapeId="0" xr:uid="{1D315421-7E77-4486-8CB0-2F56DB75162F}">
      <text>
        <r>
          <rPr>
            <b/>
            <sz val="9"/>
            <color indexed="81"/>
            <rFont val="Segoe UI"/>
            <family val="2"/>
          </rPr>
          <t xml:space="preserve">Das Kriterium für                                   
ND "Ergebnis=0" bzw.                     
DS "Ergebnis=1";                               
es muss bei der Berechnung immer ein Zellenbereich angegeben werden, eine Zellenbenennung (egal was da drinnen steht) und das Kriterium            darunter, hier "der Wert im Zellbereich "Ergebnis" =0" </t>
        </r>
      </text>
    </comment>
    <comment ref="N19" authorId="0" shapeId="0" xr:uid="{6C274FF9-85AF-4A5E-A253-E111EEBDF1EB}">
      <text>
        <r>
          <rPr>
            <b/>
            <sz val="9"/>
            <color indexed="81"/>
            <rFont val="Segoe UI"/>
            <family val="2"/>
          </rPr>
          <t>ergibt sich aus der unteren Klassengrenze sowie der Klassenbreite</t>
        </r>
      </text>
    </comment>
    <comment ref="AH23" authorId="0" shapeId="0" xr:uid="{839421D9-1625-4CCF-A839-36B68CA1B069}">
      <text>
        <r>
          <rPr>
            <b/>
            <sz val="9"/>
            <color indexed="81"/>
            <rFont val="Segoe UI"/>
            <family val="2"/>
          </rPr>
          <t>Berechnet von Oben nach Unten: Solange bei Ergebnis kein "DS"  oder in der Zelle darüber Teilbereich 2 ist (wegen möglicher leerer Klassen bzw. fehlender DS in späteren Klassen), ist es Teilbereich 1 (inverse Programmierung!)</t>
        </r>
      </text>
    </comment>
    <comment ref="AI23" authorId="0" shapeId="0" xr:uid="{8DB7888D-2A5F-4D09-8F9C-5E096208E53F}">
      <text>
        <r>
          <rPr>
            <b/>
            <sz val="9"/>
            <color indexed="81"/>
            <rFont val="Segoe UI"/>
            <family val="2"/>
          </rPr>
          <t>Berechnet von Unten nach Oben: Solange bei Ergebnis kein "ND"  oder in der Zelle darunter Teilbereich 3 ist (wegen möglicher leerer Klassen bzw. fehlender DS in späteren Klassen), ist es Teilbereich 3 (inverse Programmierung!)</t>
        </r>
        <r>
          <rPr>
            <sz val="9"/>
            <color indexed="81"/>
            <rFont val="Segoe UI"/>
            <family val="2"/>
          </rPr>
          <t xml:space="preserve">
</t>
        </r>
      </text>
    </comment>
    <comment ref="AJ23" authorId="0" shapeId="0" xr:uid="{6FA53D8F-5FE6-4AE7-8F50-F93EBACA33AE}">
      <text>
        <r>
          <rPr>
            <b/>
            <sz val="9"/>
            <color indexed="81"/>
            <rFont val="Segoe UI"/>
            <family val="2"/>
          </rPr>
          <t>brauche ich für Teilbereichsgrenzenbestimmung</t>
        </r>
      </text>
    </comment>
    <comment ref="AQ23" authorId="0" shapeId="0" xr:uid="{860FB558-6AB8-46A4-95FD-E41B7E8E32C5}">
      <text>
        <r>
          <rPr>
            <b/>
            <sz val="9"/>
            <color indexed="81"/>
            <rFont val="Segoe UI"/>
            <family val="2"/>
          </rPr>
          <t>wenn nicht gleicher Teilbereich wie Klasse darüber oder darunter, ist die Klasse eine Teilbereichgrenze!</t>
        </r>
      </text>
    </comment>
    <comment ref="K24" authorId="0" shapeId="0" xr:uid="{14CD4214-FD07-47B2-95F0-7FCC152635FC}">
      <text>
        <r>
          <rPr>
            <b/>
            <sz val="9"/>
            <color indexed="81"/>
            <rFont val="Segoe UI"/>
            <family val="2"/>
          </rPr>
          <t>= untere Klassengrenze</t>
        </r>
        <r>
          <rPr>
            <sz val="9"/>
            <color indexed="81"/>
            <rFont val="Segoe UI"/>
            <family val="2"/>
          </rPr>
          <t xml:space="preserve">
aus dem Minimalwert des Zellbereichs "vgemessen" unter Berücksichtigung des Offsets auf den nächsten darunter liegenden Wert gekürzt</t>
        </r>
      </text>
    </comment>
    <comment ref="AE24" authorId="0" shapeId="0" xr:uid="{5872DC93-B2DF-481E-97A2-A5307EC1078D}">
      <text>
        <r>
          <rPr>
            <b/>
            <sz val="9"/>
            <color indexed="81"/>
            <rFont val="Segoe UI"/>
            <family val="2"/>
          </rPr>
          <t xml:space="preserve">Das Kriterium "v innerhalb der jeweiligen (zeilenweisen) Klassenbreite und Ergebnis 0 (KD)";                                   es muss bei der Berechnung immer ein Zellenbereich angegeben werden, eine Zellenbenennung (egal was da drinnen steht) und das Kriterium darunter (hier ist die Benennung der vorangegangene Wahrheitswert)!
</t>
        </r>
      </text>
    </comment>
    <comment ref="AF24" authorId="0" shapeId="0" xr:uid="{9A3E3E07-2FF1-4512-86E2-7A2A064C17F2}">
      <text>
        <r>
          <rPr>
            <b/>
            <sz val="9"/>
            <color indexed="81"/>
            <rFont val="Segoe UI"/>
            <family val="2"/>
          </rPr>
          <t>Das Kriterium "v innerhalb der jeweiligen (zeilenweisen) Klassenbreite und Ergebnis 1 (DS)";                                   es muss bei der Berechnung immer ein Zellenbereich angegeben werden, eine Zellenbenennung (egal was da drinnen steht) und das Kriterium darunter (hier ist die Benennung der vorangegangene Wahrheitswert!)</t>
        </r>
      </text>
    </comment>
    <comment ref="B48" authorId="0" shapeId="0" xr:uid="{72C7C79C-679D-49BE-9549-944AD1392238}">
      <text>
        <r>
          <rPr>
            <b/>
            <sz val="9"/>
            <color indexed="81"/>
            <rFont val="Segoe UI"/>
            <family val="2"/>
          </rPr>
          <t>Werden mehr als 30 Schuss benötigt, können "unpassende" Treffer überschrieben werden!</t>
        </r>
        <r>
          <rPr>
            <sz val="9"/>
            <color indexed="81"/>
            <rFont val="Segoe UI"/>
            <family val="2"/>
          </rPr>
          <t xml:space="preserve">
</t>
        </r>
      </text>
    </comment>
    <comment ref="L53" authorId="0" shapeId="0" xr:uid="{6FDC7759-B5B0-4CCA-805A-FE994FB5FCAD}">
      <text>
        <r>
          <rPr>
            <b/>
            <sz val="9"/>
            <color indexed="81"/>
            <rFont val="Segoe UI"/>
            <family val="2"/>
          </rPr>
          <t>= obere Klassengrenze</t>
        </r>
        <r>
          <rPr>
            <sz val="9"/>
            <color indexed="81"/>
            <rFont val="Segoe UI"/>
            <family val="2"/>
          </rPr>
          <t xml:space="preserve">
</t>
        </r>
      </text>
    </comment>
    <comment ref="AJ54" authorId="0" shapeId="0" xr:uid="{66B26630-BF6B-48A3-B13D-8E3B767CF0BA}">
      <text>
        <r>
          <rPr>
            <sz val="9"/>
            <color indexed="81"/>
            <rFont val="Segoe UI"/>
            <family val="2"/>
          </rPr>
          <t>brauche ich für Teilbereichsgrenzenbestimmung</t>
        </r>
      </text>
    </comment>
    <comment ref="D55" authorId="0" shapeId="0" xr:uid="{224F7350-5716-4B5C-9E3D-877F93039EB9}">
      <text>
        <r>
          <rPr>
            <b/>
            <sz val="9"/>
            <color indexed="81"/>
            <rFont val="Segoe UI"/>
            <family val="2"/>
          </rPr>
          <t>Dieser Wert ist immer 150 Klassenbreiten höher als die untere Klassengrenze</t>
        </r>
        <r>
          <rPr>
            <sz val="9"/>
            <color indexed="81"/>
            <rFont val="Segoe UI"/>
            <family val="2"/>
          </rPr>
          <t xml:space="preserve">
</t>
        </r>
      </text>
    </comment>
    <comment ref="R59" authorId="0" shapeId="0" xr:uid="{4DD84AE9-28D2-4579-BA53-A94BD4D212ED}">
      <text>
        <r>
          <rPr>
            <b/>
            <sz val="9"/>
            <color indexed="81"/>
            <rFont val="Segoe UI"/>
            <family val="2"/>
          </rPr>
          <t>Weil sich bei kleinen Schusszahlen (&lt; 100)  systematisch eine zu kleine Standardabweichung s ergibt, ist eine von der Schusszahl abhängige, empirisch ermittelte Korrektur erforderlich!</t>
        </r>
        <r>
          <rPr>
            <sz val="9"/>
            <color indexed="81"/>
            <rFont val="Segoe UI"/>
            <family val="2"/>
          </rPr>
          <t xml:space="preserve">
</t>
        </r>
      </text>
    </comment>
  </commentList>
</comments>
</file>

<file path=xl/sharedStrings.xml><?xml version="1.0" encoding="utf-8"?>
<sst xmlns="http://schemas.openxmlformats.org/spreadsheetml/2006/main" count="161" uniqueCount="104">
  <si>
    <t>Testobjekt:</t>
  </si>
  <si>
    <t>Testobjekt Nr.:</t>
  </si>
  <si>
    <t>Datum:</t>
  </si>
  <si>
    <t>Auftragsnr.</t>
  </si>
  <si>
    <t>%</t>
  </si>
  <si>
    <t>m/s</t>
  </si>
  <si>
    <t>Klassenbreite:</t>
  </si>
  <si>
    <t>s</t>
  </si>
  <si>
    <t>[m/s]</t>
  </si>
  <si>
    <t>obere Klassengrenze:</t>
  </si>
  <si>
    <t>untere Klassengrenze:</t>
  </si>
  <si>
    <t>DS</t>
  </si>
  <si>
    <t>KD</t>
  </si>
  <si>
    <r>
      <t>v</t>
    </r>
    <r>
      <rPr>
        <i/>
        <vertAlign val="subscript"/>
        <sz val="10"/>
        <rFont val="Arial"/>
        <family val="2"/>
      </rPr>
      <t>u</t>
    </r>
    <r>
      <rPr>
        <i/>
        <sz val="10"/>
        <rFont val="Arial"/>
        <family val="2"/>
      </rPr>
      <t xml:space="preserve"> </t>
    </r>
  </si>
  <si>
    <r>
      <t>v</t>
    </r>
    <r>
      <rPr>
        <i/>
        <vertAlign val="subscript"/>
        <sz val="10"/>
        <rFont val="Arial"/>
        <family val="2"/>
      </rPr>
      <t>o</t>
    </r>
    <r>
      <rPr>
        <i/>
        <sz val="10"/>
        <rFont val="Arial"/>
        <family val="2"/>
      </rPr>
      <t xml:space="preserve"> </t>
    </r>
  </si>
  <si>
    <r>
      <t>F</t>
    </r>
    <r>
      <rPr>
        <i/>
        <vertAlign val="subscript"/>
        <sz val="10"/>
        <rFont val="Arial"/>
        <family val="2"/>
      </rPr>
      <t>k</t>
    </r>
    <r>
      <rPr>
        <i/>
        <sz val="10"/>
        <rFont val="Arial"/>
        <family val="2"/>
      </rPr>
      <t xml:space="preserve"> </t>
    </r>
  </si>
  <si>
    <r>
      <t>f</t>
    </r>
    <r>
      <rPr>
        <i/>
        <vertAlign val="subscript"/>
        <sz val="10"/>
        <rFont val="Arial"/>
        <family val="2"/>
      </rPr>
      <t>k</t>
    </r>
    <r>
      <rPr>
        <i/>
        <sz val="10"/>
        <rFont val="Arial"/>
        <family val="2"/>
      </rPr>
      <t xml:space="preserve"> = </t>
    </r>
    <r>
      <rPr>
        <i/>
        <sz val="10"/>
        <rFont val="Symbol"/>
        <family val="1"/>
        <charset val="2"/>
      </rPr>
      <t>D</t>
    </r>
    <r>
      <rPr>
        <i/>
        <sz val="10"/>
        <rFont val="Arial"/>
        <family val="2"/>
      </rPr>
      <t>F</t>
    </r>
    <r>
      <rPr>
        <i/>
        <vertAlign val="subscript"/>
        <sz val="10"/>
        <rFont val="Arial"/>
        <family val="2"/>
      </rPr>
      <t>k</t>
    </r>
    <r>
      <rPr>
        <i/>
        <sz val="10"/>
        <rFont val="Arial"/>
        <family val="2"/>
      </rPr>
      <t xml:space="preserve"> </t>
    </r>
  </si>
  <si>
    <r>
      <t>v</t>
    </r>
    <r>
      <rPr>
        <i/>
        <vertAlign val="subscript"/>
        <sz val="10"/>
        <rFont val="Arial"/>
        <family val="2"/>
      </rPr>
      <t>k</t>
    </r>
    <r>
      <rPr>
        <i/>
        <sz val="10"/>
        <rFont val="Arial"/>
        <family val="2"/>
      </rPr>
      <t xml:space="preserve"> </t>
    </r>
  </si>
  <si>
    <r>
      <t>v</t>
    </r>
    <r>
      <rPr>
        <i/>
        <vertAlign val="subscript"/>
        <sz val="10"/>
        <color rgb="FF000000"/>
        <rFont val="Arial"/>
        <family val="2"/>
      </rPr>
      <t>50</t>
    </r>
  </si>
  <si>
    <t>Hilfslinien</t>
  </si>
  <si>
    <t>Durchschusswahrscheinlichkeit bei:</t>
  </si>
  <si>
    <t>LOGO &amp; Schriftkopf</t>
  </si>
  <si>
    <t>Ermittlung von Mittelwert und Standardabweichung nach VPAM-KNB</t>
  </si>
  <si>
    <r>
      <t>mittlere Durchschussgeschwindigkeit (</t>
    </r>
    <r>
      <rPr>
        <i/>
        <sz val="10"/>
        <rFont val="Arial"/>
        <family val="2"/>
      </rPr>
      <t>v</t>
    </r>
    <r>
      <rPr>
        <i/>
        <vertAlign val="subscript"/>
        <sz val="10"/>
        <rFont val="Arial"/>
        <family val="2"/>
      </rPr>
      <t>50</t>
    </r>
    <r>
      <rPr>
        <sz val="10"/>
        <rFont val="Arial"/>
        <family val="2"/>
      </rPr>
      <t>) :</t>
    </r>
  </si>
  <si>
    <r>
      <t>korrigierte Standardabweichung (</t>
    </r>
    <r>
      <rPr>
        <i/>
        <sz val="10"/>
        <rFont val="Arial"/>
        <family val="2"/>
      </rPr>
      <t>s</t>
    </r>
    <r>
      <rPr>
        <i/>
        <vertAlign val="subscript"/>
        <sz val="10"/>
        <rFont val="Arial"/>
        <family val="2"/>
      </rPr>
      <t>korr</t>
    </r>
    <r>
      <rPr>
        <sz val="10"/>
        <rFont val="Arial"/>
        <family val="2"/>
      </rPr>
      <t>) :</t>
    </r>
  </si>
  <si>
    <t>Beispiel: Änderung des Bereichs von "0 bis 1000" auf "450 is 750"</t>
  </si>
  <si>
    <r>
      <t>v</t>
    </r>
    <r>
      <rPr>
        <i/>
        <vertAlign val="subscript"/>
        <sz val="10"/>
        <rFont val="Arial"/>
        <family val="2"/>
      </rPr>
      <t>gemessen</t>
    </r>
  </si>
  <si>
    <t>[ ]</t>
  </si>
  <si>
    <t>Schuss-Nr.</t>
  </si>
  <si>
    <t>Welche Durschusswahrscheinlichkeit sollen ermittelt werden?</t>
  </si>
  <si>
    <t>Ergebnis</t>
  </si>
  <si>
    <t>KD = 0; DS = 1</t>
  </si>
  <si>
    <t>vgemessen</t>
  </si>
  <si>
    <t>MaxV_KD</t>
  </si>
  <si>
    <t>maximaler Geschwindigkeitswert mit Ergebnis 'KD'</t>
  </si>
  <si>
    <t>minimaler Geschwindigkeitswert mit Ergebnis 'DS'</t>
  </si>
  <si>
    <t>MinV_DS</t>
  </si>
  <si>
    <t>MinV_KD</t>
  </si>
  <si>
    <t>MaxV_DS</t>
  </si>
  <si>
    <t>minimaler Geschwindigkeitswert mit Ergebnis 'KD'</t>
  </si>
  <si>
    <t>maximaler Geschwindigkeitswert mit Ergebnis 'DS'</t>
  </si>
  <si>
    <t>Bereichverschiebung (Offset):</t>
  </si>
  <si>
    <t>Schussanzahl</t>
  </si>
  <si>
    <t xml:space="preserve">wegen der Vergleichbarkeit </t>
  </si>
  <si>
    <t>sollte dieser Wert 5m/s bzw. 10m/s sein</t>
  </si>
  <si>
    <t>sollte dieser Wert 0m/s sein</t>
  </si>
  <si>
    <t>Anzahl gehaltener Schüsse</t>
  </si>
  <si>
    <t>Anzahl Durchschüsse</t>
  </si>
  <si>
    <t>Messwertetabelle</t>
  </si>
  <si>
    <t>Abschätzung der Durchschusswahrscheinlichkeiten</t>
  </si>
  <si>
    <t>Die Grenzgeschwindigkei für welche Durschusswahrscheinlichkeit sollen ermittelt werden?</t>
  </si>
  <si>
    <t>Die Bestimmung der Durchschusswahrscheinlichkeit bei vorgegebener Prüfgeschwindigkeit ermöglicht das Abschätzen des Restrisikos für diese Prüfgeschwindigkeit.</t>
  </si>
  <si>
    <t>Bei vorgegebener Durchschusswahrscheinlichkeit kann die zugehörige Grenzgeschwindigkeit 
des ballistischen Schutzes abgeschätzt werden. Dies ermöglicht den direkten Vergleich dieser 
Grenzgeschwindigkeit mit der vom Anwender vorgegebenen maximalen Prüfgeschwindigkeit.</t>
  </si>
  <si>
    <t>von</t>
  </si>
  <si>
    <t>Durchschusswahrscheinlichkeit</t>
  </si>
  <si>
    <t>Haltewahrscheinlichkeit</t>
  </si>
  <si>
    <t>90% (9 von 10) der Schüsse werden gestopped unter:</t>
  </si>
  <si>
    <t xml:space="preserve">dies entspricht einer </t>
  </si>
  <si>
    <t>95% (95 von 100) der Schüsse werden gestopped unter:</t>
  </si>
  <si>
    <t>99,9% (999 von 1000) der Schüsse werden gestopped unter:</t>
  </si>
  <si>
    <t>99% (99 von 100)der Schüsse werden gestopped unter:</t>
  </si>
  <si>
    <r>
      <rPr>
        <vertAlign val="superscript"/>
        <sz val="10"/>
        <rFont val="Arial"/>
        <family val="2"/>
      </rPr>
      <t>1)</t>
    </r>
    <r>
      <rPr>
        <sz val="10"/>
        <rFont val="Arial"/>
        <family val="2"/>
      </rPr>
      <t xml:space="preserve"> änderbar durch tiefsten Messwert (wird abgerundet) und ggf. Offset
</t>
    </r>
    <r>
      <rPr>
        <vertAlign val="superscript"/>
        <sz val="10"/>
        <rFont val="Arial"/>
        <family val="2"/>
      </rPr>
      <t>2)</t>
    </r>
    <r>
      <rPr>
        <sz val="10"/>
        <rFont val="Arial"/>
        <family val="2"/>
      </rPr>
      <t xml:space="preserve"> änderbar durch untere Grenzgeschwindigkeit sowie Klassenbreite</t>
    </r>
  </si>
  <si>
    <t>Anzahl angegebener, gewerteter Schüsse</t>
  </si>
  <si>
    <t>Werteermittlungsunterstützung</t>
  </si>
  <si>
    <t>►</t>
  </si>
  <si>
    <t>Haben wir mehr als 12 gewertete Schüsse?</t>
  </si>
  <si>
    <t>Haben wir einen Teilbereich 1 (Klassen mit nur KD)?</t>
  </si>
  <si>
    <t>Haben wir einen Teilbereich 2 (Mischklassen)?</t>
  </si>
  <si>
    <t>Haben wir einen Teilbereich 3 (Klassen mit nur DS)?</t>
  </si>
  <si>
    <t>Ist das Ergebnis des Schusses mit der geringsten Geschwindigkeit "KD"?</t>
  </si>
  <si>
    <t>Ist das Ergebnis des Schusses mit der höchsten Geschwindigkeit "DS"?</t>
  </si>
  <si>
    <t xml:space="preserve">     ►</t>
  </si>
  <si>
    <t xml:space="preserve">     Haben wir im Teilbereich 1 (Klassen mit nur KD) mindestens 2 Schüsse?</t>
  </si>
  <si>
    <t xml:space="preserve">     Haben wir im Teilbereich 2 (Mischklassen) mindestens 2 Schüsse?</t>
  </si>
  <si>
    <t xml:space="preserve">     Haben wir im Teilbereich 3 (Kassen mit nur DS) mindestens 2 Schüsse?</t>
  </si>
  <si>
    <t>Sind zwischen Teilbereich 2 und Teilbereich 3 weniger als 2 leere Klassen?</t>
  </si>
  <si>
    <t>Sind zwischen Teilbereich 1 und Teilbereich 2 weniger als 2 leere Klassen?</t>
  </si>
  <si>
    <r>
      <t>obere Klassengrenze der v50-Tabelle</t>
    </r>
    <r>
      <rPr>
        <vertAlign val="superscript"/>
        <sz val="10"/>
        <rFont val="Arial"/>
        <family val="2"/>
      </rPr>
      <t>2)</t>
    </r>
  </si>
  <si>
    <r>
      <t>untere Klassengrenze der v50-Tabelle</t>
    </r>
    <r>
      <rPr>
        <vertAlign val="superscript"/>
        <sz val="10"/>
        <rFont val="Arial"/>
        <family val="2"/>
      </rPr>
      <t>1)</t>
    </r>
  </si>
  <si>
    <t>S</t>
  </si>
  <si>
    <r>
      <t>S</t>
    </r>
    <r>
      <rPr>
        <vertAlign val="subscript"/>
        <sz val="10"/>
        <rFont val="Arial"/>
        <family val="2"/>
      </rPr>
      <t>gesamt</t>
    </r>
  </si>
  <si>
    <t>Etwa gleich viele DS wie KD?</t>
  </si>
  <si>
    <t>obere Klassengrenze</t>
  </si>
  <si>
    <t>untere Klassengrenze</t>
  </si>
  <si>
    <t>Teilbereich</t>
  </si>
  <si>
    <t>I</t>
  </si>
  <si>
    <t>II</t>
  </si>
  <si>
    <t>Schuss</t>
  </si>
  <si>
    <t>In1</t>
  </si>
  <si>
    <t>In2</t>
  </si>
  <si>
    <t>In3</t>
  </si>
  <si>
    <t>Berechnet Kriterium für Angabe von KD bzw. DS</t>
  </si>
  <si>
    <t>Bestimmung der 3 Teilbereiche
1 nur KD, 2 Mischbereich; 3 nur DS</t>
  </si>
  <si>
    <t>Bestimmung wie viele Schüsse in den einzelnen Teilbereichen liegen</t>
  </si>
  <si>
    <t>Bestimmung der Teilbereichgrenzen sowie Prüfung auf Anzahl leere Klassen</t>
  </si>
  <si>
    <t>Klassengrenze</t>
  </si>
  <si>
    <t>TB1 - TB2
in TB1</t>
  </si>
  <si>
    <t>TB1 - TB2
in TB2</t>
  </si>
  <si>
    <t>TB2 - TB3
in TB3</t>
  </si>
  <si>
    <t>TB2 - TB3
in TB2</t>
  </si>
  <si>
    <t>Kriterium</t>
  </si>
  <si>
    <r>
      <t xml:space="preserve">     </t>
    </r>
    <r>
      <rPr>
        <b/>
        <sz val="10"/>
        <color rgb="FFFFC000"/>
        <rFont val="Arial"/>
        <family val="2"/>
      </rPr>
      <t xml:space="preserve">OPTINAL: </t>
    </r>
    <r>
      <rPr>
        <sz val="10"/>
        <rFont val="Arial"/>
        <family val="2"/>
      </rPr>
      <t>Haben wir mehr als idealerweise 20 gewertete Schüsse?</t>
    </r>
  </si>
  <si>
    <r>
      <t>Alle sich aus dem ermittelten v</t>
    </r>
    <r>
      <rPr>
        <b/>
        <i/>
        <vertAlign val="subscript"/>
        <sz val="10"/>
        <rFont val="Arial"/>
        <family val="2"/>
      </rPr>
      <t>50</t>
    </r>
    <r>
      <rPr>
        <b/>
        <i/>
        <sz val="10"/>
        <rFont val="Arial"/>
        <family val="2"/>
      </rPr>
      <t>- sowie s</t>
    </r>
    <r>
      <rPr>
        <b/>
        <i/>
        <vertAlign val="subscript"/>
        <sz val="10"/>
        <rFont val="Arial"/>
        <family val="2"/>
      </rPr>
      <t>korr</t>
    </r>
    <r>
      <rPr>
        <b/>
        <i/>
        <sz val="10"/>
        <rFont val="Arial"/>
        <family val="2"/>
      </rPr>
      <t>-Werten bestimmten statistischen
Schätzwerte (Durchschusswahrscheinlichkeiten bzw. -geschwindigkeiten) unterliegen, 
da eine Normalverteilung zu Grunde gelegt wird, nicht abschließend bekannten Unsicherheiten (machmal erfüllen die Ergebnisse die Normalverteilung sehr gut aber machmal auch nicht)! Die Verwendung dieser Schätzwerte zur Abschätzung von Durchschussgeschwindigkeiten/-wahrscheinlichkeiten bei sehr geringer (resp. hoher) Durchschusswahrscheinlichkeit/-geschwidigkeiten kann durch die Wechselwirkungen zwischen Projektil und Schutz zu unkontrollierten Abweichungen und somit unzulässigen Aussagen in diesen Bereichen führen, da hier bereits kleinste Änderungen in der Standardabweichung zu  gravierenden Änderungen in der Durchschusswahrscheinlichkeit führen können.</t>
    </r>
  </si>
  <si>
    <r>
      <t xml:space="preserve">Bei einer allfälligen Auswertung ist zu beachten, dass die Normalverteilung 
innerhalb als auch außerhalb des geprüften Bereichs vorliegen muss! Es werden Aussagen/Schätzungen zu NICHT GEPRÜFTEN Szenarien getroffen! Bei den Berechnungen ergibt sich somit keinesfalls immer eine belastbare Aussage. Die Ergebnisse können somit zur </t>
    </r>
    <r>
      <rPr>
        <b/>
        <i/>
        <u/>
        <sz val="10"/>
        <rFont val="Arial"/>
        <family val="2"/>
      </rPr>
      <t>Qualitätssicherung</t>
    </r>
    <r>
      <rPr>
        <b/>
        <i/>
        <sz val="10"/>
        <rFont val="Arial"/>
        <family val="2"/>
      </rPr>
      <t xml:space="preserve"> herangezogen werden, eignet sich jedoch nur </t>
    </r>
    <r>
      <rPr>
        <b/>
        <i/>
        <u/>
        <sz val="10"/>
        <rFont val="Arial"/>
        <family val="2"/>
      </rPr>
      <t>unzureichend als Ausschreibungskriterium</t>
    </r>
    <r>
      <rPr>
        <b/>
        <i/>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</si>
</sst>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0\)"/>
    <numFmt numFmtId="165" formatCode="0.0"/>
    <numFmt numFmtId="166" formatCode="0.00000"/>
    <numFmt numFmtId="167" formatCode="0.0000000000E+00"/>
    <numFmt numFmtId="168" formatCode="0.0##%"/>
    <numFmt numFmtId="169" formatCode="0.0E+00"/>
  </numFmts>
  <fonts count="43" x14ac:knownFonts="1">
    <font>
      <sz val="10"/>
      <color indexed="24"/>
      <name val="Arial"/>
    </font>
    <font>
      <b/>
      <sz val="18"/>
      <color indexed="24"/>
      <name val="Arial"/>
      <family val="2"/>
    </font>
    <font>
      <b/>
      <sz val="12"/>
      <color indexed="24"/>
      <name val="Arial"/>
      <family val="2"/>
    </font>
    <font>
      <sz val="10"/>
      <name val="Arial"/>
      <family val="2"/>
    </font>
    <font>
      <sz val="8"/>
      <name val="Arial"/>
      <family val="2"/>
    </font>
    <font>
      <b/>
      <sz val="10"/>
      <name val="Arial"/>
      <family val="2"/>
    </font>
    <font>
      <sz val="10"/>
      <color indexed="24"/>
      <name val="Arial"/>
      <family val="2"/>
    </font>
    <font>
      <sz val="10"/>
      <name val="Arial"/>
      <family val="2"/>
    </font>
    <font>
      <sz val="10"/>
      <color indexed="24"/>
      <name val="Arial"/>
      <family val="2"/>
    </font>
    <font>
      <i/>
      <sz val="10"/>
      <color rgb="FF000000"/>
      <name val="Arial"/>
      <family val="2"/>
    </font>
    <font>
      <i/>
      <sz val="10"/>
      <color indexed="8"/>
      <name val="Arial"/>
      <family val="2"/>
    </font>
    <font>
      <i/>
      <sz val="10"/>
      <name val="Arial"/>
      <family val="2"/>
    </font>
    <font>
      <i/>
      <vertAlign val="subscript"/>
      <sz val="10"/>
      <name val="Arial"/>
      <family val="2"/>
    </font>
    <font>
      <i/>
      <sz val="10"/>
      <name val="Symbol"/>
      <family val="1"/>
      <charset val="2"/>
    </font>
    <font>
      <i/>
      <vertAlign val="subscript"/>
      <sz val="10"/>
      <color rgb="FF000000"/>
      <name val="Arial"/>
      <family val="2"/>
    </font>
    <font>
      <b/>
      <sz val="10"/>
      <color indexed="24"/>
      <name val="Arial"/>
      <family val="2"/>
    </font>
    <font>
      <b/>
      <i/>
      <sz val="12"/>
      <name val="Arial"/>
      <family val="2"/>
    </font>
    <font>
      <i/>
      <sz val="10"/>
      <color indexed="24"/>
      <name val="Arial"/>
      <family val="2"/>
    </font>
    <font>
      <sz val="8"/>
      <color indexed="24"/>
      <name val="Arial"/>
      <family val="2"/>
    </font>
    <font>
      <b/>
      <sz val="8"/>
      <name val="Arial"/>
      <family val="2"/>
    </font>
    <font>
      <sz val="10"/>
      <color theme="0"/>
      <name val="Arial"/>
      <family val="2"/>
    </font>
    <font>
      <sz val="10"/>
      <color theme="0" tint="-0.34998626667073579"/>
      <name val="Arial"/>
      <family val="2"/>
    </font>
    <font>
      <vertAlign val="superscript"/>
      <sz val="10"/>
      <name val="Arial"/>
      <family val="2"/>
    </font>
    <font>
      <sz val="9"/>
      <color indexed="81"/>
      <name val="Segoe UI"/>
      <family val="2"/>
    </font>
    <font>
      <b/>
      <sz val="9"/>
      <color indexed="81"/>
      <name val="Segoe UI"/>
      <family val="2"/>
    </font>
    <font>
      <b/>
      <sz val="10"/>
      <color theme="0"/>
      <name val="Arial"/>
      <family val="2"/>
    </font>
    <font>
      <b/>
      <i/>
      <sz val="10"/>
      <name val="Arial"/>
      <family val="2"/>
    </font>
    <font>
      <b/>
      <i/>
      <vertAlign val="subscript"/>
      <sz val="10"/>
      <name val="Arial"/>
      <family val="2"/>
    </font>
    <font>
      <b/>
      <vertAlign val="subscript"/>
      <sz val="9"/>
      <color indexed="81"/>
      <name val="Segoe UI"/>
      <family val="2"/>
    </font>
    <font>
      <b/>
      <sz val="10"/>
      <color rgb="FFC00000"/>
      <name val="Arial"/>
      <family val="2"/>
    </font>
    <font>
      <sz val="10"/>
      <color rgb="FFC00000"/>
      <name val="Arial"/>
      <family val="2"/>
    </font>
    <font>
      <sz val="10"/>
      <color theme="0" tint="-0.499984740745262"/>
      <name val="Arial"/>
      <family val="2"/>
    </font>
    <font>
      <sz val="10"/>
      <color indexed="24"/>
      <name val="Mathcad UniMath Prime"/>
      <family val="3"/>
    </font>
    <font>
      <b/>
      <sz val="10"/>
      <color rgb="FFFFC000"/>
      <name val="Arial"/>
      <family val="2"/>
    </font>
    <font>
      <sz val="10"/>
      <name val="Symbol"/>
      <family val="1"/>
      <charset val="2"/>
    </font>
    <font>
      <vertAlign val="subscript"/>
      <sz val="10"/>
      <name val="Arial"/>
      <family val="2"/>
    </font>
    <font>
      <sz val="11"/>
      <color rgb="FF000000"/>
      <name val="Calibri"/>
      <family val="2"/>
    </font>
    <font>
      <sz val="10"/>
      <name val="Times New Roman"/>
      <family val="1"/>
    </font>
    <font>
      <sz val="11"/>
      <name val="Arial"/>
      <family val="2"/>
    </font>
    <font>
      <sz val="10"/>
      <color theme="0" tint="-0.249977111117893"/>
      <name val="Arial"/>
      <family val="2"/>
    </font>
    <font>
      <sz val="8"/>
      <color theme="0" tint="-0.34998626667073579"/>
      <name val="Arial"/>
      <family val="2"/>
    </font>
    <font>
      <i/>
      <sz val="10"/>
      <color theme="0" tint="-0.34998626667073579"/>
      <name val="Arial"/>
      <family val="2"/>
    </font>
    <font>
      <b/>
      <i/>
      <u/>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C00000"/>
        <bgColor indexed="64"/>
      </patternFill>
    </fill>
  </fills>
  <borders count="53">
    <border>
      <left/>
      <right/>
      <top/>
      <bottom/>
      <diagonal/>
    </border>
    <border>
      <left/>
      <right/>
      <top style="double">
        <color indexed="64"/>
      </top>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style="dashed">
        <color indexed="64"/>
      </right>
      <top style="thin">
        <color indexed="64"/>
      </top>
      <bottom/>
      <diagonal/>
    </border>
    <border>
      <left style="thin">
        <color indexed="64"/>
      </left>
      <right style="dashed">
        <color indexed="64"/>
      </right>
      <top/>
      <bottom/>
      <diagonal/>
    </border>
    <border>
      <left/>
      <right style="thin">
        <color indexed="64"/>
      </right>
      <top/>
      <bottom/>
      <diagonal/>
    </border>
    <border>
      <left/>
      <right style="dashed">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s>
  <cellStyleXfs count="12">
    <xf numFmtId="0" fontId="0" fillId="0" borderId="0"/>
    <xf numFmtId="2" fontId="6" fillId="0" borderId="0"/>
    <xf numFmtId="0" fontId="6" fillId="0" borderId="1"/>
    <xf numFmtId="3" fontId="6" fillId="0" borderId="0"/>
    <xf numFmtId="0" fontId="7" fillId="0" borderId="0"/>
    <xf numFmtId="0" fontId="6" fillId="0" borderId="0"/>
    <xf numFmtId="164" fontId="6" fillId="0" borderId="0"/>
    <xf numFmtId="0" fontId="1" fillId="0" borderId="0"/>
    <xf numFmtId="0" fontId="2" fillId="0" borderId="0"/>
    <xf numFmtId="0" fontId="8" fillId="0" borderId="0"/>
    <xf numFmtId="0" fontId="6" fillId="0" borderId="0"/>
    <xf numFmtId="0" fontId="36" fillId="0" borderId="0"/>
  </cellStyleXfs>
  <cellXfs count="266">
    <xf numFmtId="0" fontId="6" fillId="0" borderId="0" xfId="0" applyFont="1"/>
    <xf numFmtId="0" fontId="3" fillId="0" borderId="0" xfId="0" applyFont="1" applyAlignment="1" applyProtection="1">
      <alignment vertical="center"/>
    </xf>
    <xf numFmtId="165" fontId="3" fillId="0" borderId="0" xfId="0" applyNumberFormat="1" applyFont="1" applyAlignment="1" applyProtection="1">
      <alignment vertical="center"/>
    </xf>
    <xf numFmtId="2" fontId="3" fillId="0" borderId="13" xfId="0" applyNumberFormat="1" applyFont="1" applyBorder="1" applyAlignment="1" applyProtection="1">
      <alignment vertical="center"/>
    </xf>
    <xf numFmtId="165" fontId="3" fillId="0" borderId="12" xfId="0" applyNumberFormat="1" applyFont="1" applyBorder="1" applyAlignment="1" applyProtection="1">
      <alignment vertical="center"/>
    </xf>
    <xf numFmtId="165" fontId="3" fillId="0" borderId="14" xfId="0" applyNumberFormat="1" applyFont="1" applyBorder="1" applyAlignment="1" applyProtection="1">
      <alignment vertical="center"/>
    </xf>
    <xf numFmtId="2" fontId="3" fillId="0" borderId="15" xfId="0" applyNumberFormat="1"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165" fontId="3" fillId="0" borderId="16" xfId="0" applyNumberFormat="1" applyFont="1" applyBorder="1" applyAlignment="1" applyProtection="1">
      <alignment vertical="center"/>
    </xf>
    <xf numFmtId="2" fontId="3" fillId="0" borderId="8" xfId="0" applyNumberFormat="1" applyFont="1" applyBorder="1" applyAlignment="1" applyProtection="1">
      <alignment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3" fillId="0" borderId="17" xfId="0" applyFont="1" applyBorder="1" applyAlignment="1" applyProtection="1">
      <alignment vertical="center"/>
    </xf>
    <xf numFmtId="0" fontId="3" fillId="0" borderId="18" xfId="0" applyFont="1" applyBorder="1" applyAlignment="1" applyProtection="1">
      <alignment vertical="center"/>
    </xf>
    <xf numFmtId="0" fontId="0" fillId="0" borderId="0" xfId="0" applyAlignment="1" applyProtection="1">
      <alignment vertical="center"/>
    </xf>
    <xf numFmtId="2" fontId="3" fillId="0" borderId="7" xfId="0" applyNumberFormat="1" applyFont="1" applyBorder="1" applyAlignment="1" applyProtection="1">
      <alignment vertical="center"/>
    </xf>
    <xf numFmtId="165" fontId="3" fillId="0" borderId="6" xfId="0" applyNumberFormat="1" applyFont="1" applyBorder="1" applyAlignment="1" applyProtection="1">
      <alignment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9" fillId="0" borderId="9" xfId="5" applyFont="1" applyBorder="1" applyAlignment="1" applyProtection="1">
      <alignment horizontal="center" vertical="center"/>
    </xf>
    <xf numFmtId="0" fontId="10" fillId="0" borderId="10" xfId="5"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xf>
    <xf numFmtId="0" fontId="4" fillId="0" borderId="0" xfId="0" applyFont="1" applyAlignment="1" applyProtection="1">
      <alignment horizontal="center" vertical="center"/>
    </xf>
    <xf numFmtId="0" fontId="4" fillId="0" borderId="8"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vertical="center"/>
    </xf>
    <xf numFmtId="0" fontId="3" fillId="0" borderId="3"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0" xfId="0" applyFont="1" applyProtection="1"/>
    <xf numFmtId="0" fontId="0" fillId="0" borderId="0" xfId="0" applyAlignment="1" applyProtection="1">
      <alignment horizontal="center"/>
    </xf>
    <xf numFmtId="0" fontId="5" fillId="0" borderId="0" xfId="0" applyFont="1" applyProtection="1"/>
    <xf numFmtId="0" fontId="6" fillId="0" borderId="0" xfId="0" applyFont="1" applyProtection="1"/>
    <xf numFmtId="0" fontId="0" fillId="0" borderId="0" xfId="0" applyProtection="1"/>
    <xf numFmtId="0" fontId="6" fillId="0" borderId="0" xfId="10" applyProtection="1">
      <protection locked="0"/>
    </xf>
    <xf numFmtId="0" fontId="3" fillId="0" borderId="0" xfId="10" applyFont="1" applyAlignment="1" applyProtection="1">
      <alignment horizontal="center"/>
      <protection locked="0"/>
    </xf>
    <xf numFmtId="0" fontId="4" fillId="0" borderId="0" xfId="0" applyFont="1" applyAlignment="1" applyProtection="1">
      <alignment horizontal="center" vertical="center" wrapText="1"/>
    </xf>
    <xf numFmtId="0" fontId="5" fillId="0" borderId="0" xfId="10" applyFont="1" applyProtection="1">
      <protection locked="0"/>
    </xf>
    <xf numFmtId="0" fontId="3" fillId="0" borderId="0" xfId="0" applyFont="1" applyFill="1" applyAlignment="1" applyProtection="1">
      <alignment vertical="center"/>
    </xf>
    <xf numFmtId="0" fontId="3" fillId="0" borderId="0" xfId="0" applyFont="1" applyBorder="1" applyAlignment="1" applyProtection="1">
      <alignment horizontal="center" vertical="center"/>
    </xf>
    <xf numFmtId="2" fontId="3" fillId="0" borderId="0" xfId="0" applyNumberFormat="1" applyFont="1" applyBorder="1" applyAlignment="1" applyProtection="1">
      <alignment vertical="center"/>
    </xf>
    <xf numFmtId="165" fontId="3" fillId="0" borderId="0" xfId="0" applyNumberFormat="1" applyFont="1" applyBorder="1" applyAlignment="1" applyProtection="1">
      <alignment vertical="center"/>
    </xf>
    <xf numFmtId="165" fontId="3" fillId="0" borderId="0" xfId="0" applyNumberFormat="1" applyFont="1" applyFill="1" applyAlignment="1" applyProtection="1">
      <alignment vertical="center"/>
    </xf>
    <xf numFmtId="0" fontId="21" fillId="0" borderId="0" xfId="0" applyFont="1" applyProtection="1"/>
    <xf numFmtId="0" fontId="3" fillId="0" borderId="0" xfId="0" applyFont="1" applyBorder="1" applyAlignment="1" applyProtection="1">
      <alignment vertical="center"/>
    </xf>
    <xf numFmtId="165" fontId="3" fillId="0" borderId="5" xfId="0" applyNumberFormat="1" applyFont="1" applyFill="1" applyBorder="1" applyAlignment="1" applyProtection="1">
      <alignment horizontal="center" vertical="center"/>
    </xf>
    <xf numFmtId="165" fontId="3" fillId="0" borderId="6" xfId="0" applyNumberFormat="1" applyFont="1" applyFill="1" applyBorder="1" applyAlignment="1" applyProtection="1">
      <alignment horizontal="center" vertical="center"/>
    </xf>
    <xf numFmtId="1" fontId="3" fillId="0" borderId="0" xfId="0" applyNumberFormat="1" applyFont="1" applyAlignment="1" applyProtection="1"/>
    <xf numFmtId="0" fontId="3" fillId="0" borderId="0" xfId="0" applyFont="1" applyAlignment="1" applyProtection="1">
      <alignment horizontal="left"/>
    </xf>
    <xf numFmtId="165" fontId="3" fillId="0" borderId="11" xfId="0" applyNumberFormat="1" applyFont="1" applyFill="1" applyBorder="1" applyAlignment="1" applyProtection="1">
      <alignment horizontal="center" vertical="center"/>
    </xf>
    <xf numFmtId="165" fontId="25" fillId="3" borderId="19" xfId="0" applyNumberFormat="1" applyFont="1" applyFill="1" applyBorder="1" applyAlignment="1" applyProtection="1">
      <alignment vertical="center"/>
    </xf>
    <xf numFmtId="0" fontId="20" fillId="0" borderId="0" xfId="0" applyFont="1" applyAlignment="1" applyProtection="1">
      <alignment horizontal="center"/>
    </xf>
    <xf numFmtId="0" fontId="20" fillId="0" borderId="0" xfId="0" applyFont="1" applyProtection="1"/>
    <xf numFmtId="0" fontId="20" fillId="0" borderId="0" xfId="0" applyFont="1" applyAlignment="1" applyProtection="1">
      <alignment vertical="center"/>
    </xf>
    <xf numFmtId="169" fontId="3" fillId="0" borderId="0" xfId="0" applyNumberFormat="1" applyFont="1" applyAlignment="1" applyProtection="1">
      <alignment horizontal="right" vertical="center"/>
    </xf>
    <xf numFmtId="165" fontId="3" fillId="0" borderId="0" xfId="0" applyNumberFormat="1" applyFont="1" applyAlignment="1" applyProtection="1">
      <alignment horizontal="right" vertical="center"/>
    </xf>
    <xf numFmtId="0" fontId="21" fillId="0" borderId="0" xfId="0" applyFont="1" applyAlignment="1" applyProtection="1">
      <alignment vertical="center"/>
    </xf>
    <xf numFmtId="0" fontId="30" fillId="0" borderId="0" xfId="0" applyFont="1" applyAlignment="1" applyProtection="1">
      <alignment horizontal="center"/>
    </xf>
    <xf numFmtId="0" fontId="31" fillId="0" borderId="0" xfId="0" applyFont="1" applyAlignment="1" applyProtection="1">
      <alignment horizontal="center"/>
    </xf>
    <xf numFmtId="0" fontId="31" fillId="0" borderId="0" xfId="0" applyFont="1" applyProtection="1"/>
    <xf numFmtId="14" fontId="3" fillId="2" borderId="0" xfId="0" applyNumberFormat="1" applyFont="1" applyFill="1" applyAlignment="1" applyProtection="1">
      <alignment horizontal="center" vertical="center"/>
      <protection locked="0"/>
    </xf>
    <xf numFmtId="0" fontId="32" fillId="0" borderId="0" xfId="0" applyFont="1" applyProtection="1"/>
    <xf numFmtId="0" fontId="29" fillId="0" borderId="0" xfId="0" applyFont="1" applyAlignment="1" applyProtection="1">
      <alignment horizontal="center"/>
    </xf>
    <xf numFmtId="165" fontId="3" fillId="0" borderId="26" xfId="0" applyNumberFormat="1" applyFont="1" applyFill="1" applyBorder="1" applyAlignment="1" applyProtection="1">
      <alignment horizontal="center" vertical="center"/>
    </xf>
    <xf numFmtId="1" fontId="3" fillId="0" borderId="0" xfId="0" applyNumberFormat="1" applyFont="1" applyFill="1" applyBorder="1" applyAlignment="1" applyProtection="1">
      <alignment vertical="center"/>
    </xf>
    <xf numFmtId="1" fontId="3" fillId="0" borderId="0" xfId="0" applyNumberFormat="1" applyFont="1" applyBorder="1" applyAlignment="1" applyProtection="1">
      <alignment horizontal="center" vertical="center"/>
    </xf>
    <xf numFmtId="0" fontId="34" fillId="0" borderId="0" xfId="0" applyFont="1" applyAlignment="1" applyProtection="1">
      <alignment horizontal="center" vertical="center"/>
    </xf>
    <xf numFmtId="1" fontId="3" fillId="0" borderId="0" xfId="0" applyNumberFormat="1" applyFont="1" applyFill="1" applyAlignment="1" applyProtection="1"/>
    <xf numFmtId="0" fontId="16" fillId="0" borderId="0" xfId="0" applyFont="1" applyAlignment="1" applyProtection="1">
      <alignment horizontal="center" vertical="center"/>
    </xf>
    <xf numFmtId="0" fontId="17" fillId="0" borderId="0" xfId="0" applyFont="1" applyAlignment="1" applyProtection="1">
      <alignment horizontal="center"/>
    </xf>
    <xf numFmtId="0" fontId="11" fillId="0" borderId="2" xfId="0" applyFont="1" applyBorder="1" applyAlignment="1" applyProtection="1">
      <alignment horizontal="center" vertical="center"/>
    </xf>
    <xf numFmtId="0" fontId="3" fillId="0" borderId="0" xfId="0" applyFont="1" applyAlignment="1" applyProtection="1">
      <alignment horizontal="right" vertical="center"/>
    </xf>
    <xf numFmtId="0" fontId="19" fillId="0" borderId="0" xfId="0" applyFont="1" applyAlignment="1" applyProtection="1">
      <alignment horizontal="center" vertical="center" wrapText="1"/>
    </xf>
    <xf numFmtId="0" fontId="3" fillId="0" borderId="0" xfId="0" applyFont="1" applyAlignment="1" applyProtection="1">
      <alignment horizontal="right"/>
    </xf>
    <xf numFmtId="1" fontId="3" fillId="0" borderId="19" xfId="0" applyNumberFormat="1" applyFont="1" applyBorder="1" applyAlignment="1" applyProtection="1">
      <alignment horizontal="center" vertical="center"/>
    </xf>
    <xf numFmtId="0" fontId="3" fillId="0" borderId="0" xfId="0" applyFont="1" applyAlignment="1" applyProtection="1">
      <alignment horizontal="center"/>
    </xf>
    <xf numFmtId="0" fontId="11" fillId="0" borderId="0" xfId="0" applyFont="1" applyAlignment="1" applyProtection="1">
      <alignment vertical="center"/>
    </xf>
    <xf numFmtId="0" fontId="11" fillId="0" borderId="0" xfId="0" applyFont="1" applyAlignment="1" applyProtection="1">
      <alignment horizontal="center" vertical="center" wrapText="1"/>
    </xf>
    <xf numFmtId="0" fontId="26" fillId="0" borderId="0" xfId="0" applyFont="1" applyAlignment="1" applyProtection="1">
      <alignment horizontal="center" vertical="center" wrapText="1"/>
    </xf>
    <xf numFmtId="0" fontId="3" fillId="0" borderId="0" xfId="0" applyFont="1" applyAlignment="1" applyProtection="1">
      <alignment horizontal="center" vertical="center"/>
    </xf>
    <xf numFmtId="0" fontId="11" fillId="0" borderId="0" xfId="0" applyFont="1" applyAlignment="1" applyProtection="1">
      <alignment horizontal="center"/>
    </xf>
    <xf numFmtId="1" fontId="3" fillId="2" borderId="0" xfId="0" applyNumberFormat="1"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0" borderId="30" xfId="0" applyNumberFormat="1" applyFont="1" applyBorder="1" applyAlignment="1" applyProtection="1">
      <alignment horizontal="center"/>
    </xf>
    <xf numFmtId="0" fontId="3" fillId="0" borderId="32" xfId="0" applyNumberFormat="1" applyFont="1" applyBorder="1" applyAlignment="1" applyProtection="1">
      <alignment horizontal="center"/>
    </xf>
    <xf numFmtId="1" fontId="3" fillId="0" borderId="35" xfId="0" applyNumberFormat="1" applyFont="1" applyBorder="1" applyAlignment="1" applyProtection="1">
      <alignment horizontal="center" vertical="center"/>
    </xf>
    <xf numFmtId="1" fontId="3" fillId="0" borderId="36" xfId="0" applyNumberFormat="1" applyFont="1" applyBorder="1" applyAlignment="1" applyProtection="1">
      <alignment horizontal="center" vertical="center"/>
    </xf>
    <xf numFmtId="1" fontId="3" fillId="0" borderId="22" xfId="0" applyNumberFormat="1" applyFont="1" applyBorder="1" applyAlignment="1" applyProtection="1">
      <alignment horizontal="center" vertical="center"/>
    </xf>
    <xf numFmtId="1" fontId="3" fillId="0" borderId="37" xfId="0" applyNumberFormat="1" applyFont="1" applyBorder="1" applyAlignment="1" applyProtection="1">
      <alignment horizontal="center" vertical="center"/>
    </xf>
    <xf numFmtId="1" fontId="3" fillId="0" borderId="23" xfId="0" applyNumberFormat="1" applyFont="1" applyBorder="1" applyAlignment="1" applyProtection="1">
      <alignment horizontal="center" vertical="center"/>
    </xf>
    <xf numFmtId="0" fontId="19" fillId="0" borderId="27" xfId="0" applyFont="1" applyBorder="1" applyAlignment="1" applyProtection="1">
      <alignment horizontal="center" vertical="center"/>
    </xf>
    <xf numFmtId="0" fontId="19" fillId="0" borderId="28" xfId="0" applyFont="1" applyBorder="1" applyAlignment="1" applyProtection="1">
      <alignment horizontal="center" vertical="center"/>
    </xf>
    <xf numFmtId="0" fontId="19" fillId="0" borderId="29"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32" xfId="0" applyFont="1" applyFill="1" applyBorder="1" applyAlignment="1" applyProtection="1">
      <alignment horizontal="center" vertical="center"/>
    </xf>
    <xf numFmtId="0" fontId="19" fillId="0" borderId="38" xfId="0" applyFont="1" applyBorder="1" applyAlignment="1" applyProtection="1">
      <alignment horizontal="center" vertical="center"/>
    </xf>
    <xf numFmtId="0" fontId="19" fillId="0" borderId="39"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1" xfId="0" applyFont="1" applyBorder="1" applyAlignment="1" applyProtection="1">
      <alignment horizontal="center" vertical="center"/>
    </xf>
    <xf numFmtId="0" fontId="19" fillId="0" borderId="42" xfId="0" applyFont="1" applyBorder="1" applyAlignment="1" applyProtection="1">
      <alignment horizontal="center" vertical="center"/>
    </xf>
    <xf numFmtId="0" fontId="19" fillId="0" borderId="43" xfId="0" applyFont="1" applyBorder="1" applyAlignment="1" applyProtection="1">
      <alignment horizontal="center" vertical="center"/>
    </xf>
    <xf numFmtId="1" fontId="3" fillId="0" borderId="38" xfId="0" applyNumberFormat="1" applyFont="1" applyBorder="1" applyAlignment="1" applyProtection="1">
      <alignment horizontal="center" vertical="center"/>
    </xf>
    <xf numFmtId="1" fontId="3" fillId="0" borderId="39" xfId="0" applyNumberFormat="1" applyFont="1" applyBorder="1" applyAlignment="1" applyProtection="1">
      <alignment horizontal="center" vertical="center"/>
    </xf>
    <xf numFmtId="1" fontId="3" fillId="0" borderId="40" xfId="0" applyNumberFormat="1" applyFont="1" applyBorder="1" applyAlignment="1" applyProtection="1">
      <alignment horizontal="center" vertical="center"/>
    </xf>
    <xf numFmtId="1" fontId="3" fillId="0" borderId="44" xfId="0" applyNumberFormat="1" applyFont="1" applyBorder="1" applyAlignment="1" applyProtection="1">
      <alignment horizontal="center" vertical="center"/>
    </xf>
    <xf numFmtId="1" fontId="3" fillId="0" borderId="8" xfId="0" applyNumberFormat="1" applyFont="1" applyBorder="1" applyAlignment="1" applyProtection="1">
      <alignment horizontal="center" vertical="center"/>
    </xf>
    <xf numFmtId="1" fontId="3" fillId="0" borderId="45" xfId="0" applyNumberFormat="1" applyFont="1" applyBorder="1" applyAlignment="1" applyProtection="1">
      <alignment horizontal="center" vertical="center"/>
    </xf>
    <xf numFmtId="1" fontId="3" fillId="0" borderId="41" xfId="0" applyNumberFormat="1" applyFont="1" applyBorder="1" applyAlignment="1" applyProtection="1">
      <alignment horizontal="center" vertical="center"/>
    </xf>
    <xf numFmtId="1" fontId="3" fillId="0" borderId="42" xfId="0" applyNumberFormat="1" applyFont="1" applyBorder="1" applyAlignment="1" applyProtection="1">
      <alignment horizontal="center" vertical="center"/>
    </xf>
    <xf numFmtId="1" fontId="3" fillId="0" borderId="43" xfId="0" applyNumberFormat="1" applyFont="1" applyBorder="1" applyAlignment="1" applyProtection="1">
      <alignment horizontal="center" vertical="center"/>
    </xf>
    <xf numFmtId="0" fontId="19" fillId="0" borderId="31" xfId="0" applyFont="1" applyBorder="1" applyAlignment="1" applyProtection="1">
      <alignment horizontal="right" vertical="center"/>
    </xf>
    <xf numFmtId="1" fontId="3" fillId="0" borderId="0" xfId="0" applyNumberFormat="1" applyFont="1" applyBorder="1" applyAlignment="1" applyProtection="1">
      <alignment horizontal="right" vertical="center"/>
    </xf>
    <xf numFmtId="0" fontId="3" fillId="0" borderId="0" xfId="0" applyFont="1" applyAlignment="1" applyProtection="1">
      <alignment wrapText="1"/>
    </xf>
    <xf numFmtId="0" fontId="4" fillId="0" borderId="38" xfId="0" applyFont="1" applyBorder="1" applyAlignment="1" applyProtection="1">
      <alignment horizontal="center" vertical="center"/>
    </xf>
    <xf numFmtId="0" fontId="4" fillId="0" borderId="41" xfId="0" applyFont="1" applyBorder="1" applyAlignment="1" applyProtection="1">
      <alignment horizontal="center" vertical="center"/>
    </xf>
    <xf numFmtId="0" fontId="5" fillId="0" borderId="39" xfId="0" applyFont="1" applyBorder="1" applyAlignment="1" applyProtection="1">
      <alignment horizontal="center"/>
    </xf>
    <xf numFmtId="0" fontId="5" fillId="0" borderId="40" xfId="0" applyFont="1" applyBorder="1" applyAlignment="1" applyProtection="1">
      <alignment horizontal="center"/>
    </xf>
    <xf numFmtId="0" fontId="5" fillId="0" borderId="8" xfId="0" applyFont="1" applyBorder="1" applyAlignment="1" applyProtection="1">
      <alignment horizontal="center"/>
    </xf>
    <xf numFmtId="0" fontId="5" fillId="0" borderId="45" xfId="0" applyFont="1" applyBorder="1" applyAlignment="1" applyProtection="1">
      <alignment horizontal="center"/>
    </xf>
    <xf numFmtId="0" fontId="5" fillId="0" borderId="42" xfId="0" applyFont="1" applyBorder="1" applyAlignment="1" applyProtection="1">
      <alignment horizontal="center"/>
    </xf>
    <xf numFmtId="0" fontId="5" fillId="0" borderId="43" xfId="0" applyFont="1" applyBorder="1" applyAlignment="1" applyProtection="1">
      <alignment horizontal="center"/>
    </xf>
    <xf numFmtId="0" fontId="19" fillId="0" borderId="43" xfId="0" applyFont="1" applyFill="1" applyBorder="1" applyAlignment="1" applyProtection="1">
      <alignment horizontal="center" vertical="center"/>
    </xf>
    <xf numFmtId="0" fontId="3" fillId="0" borderId="45" xfId="0" applyNumberFormat="1" applyFont="1" applyBorder="1" applyAlignment="1" applyProtection="1">
      <alignment horizontal="center"/>
    </xf>
    <xf numFmtId="0" fontId="3" fillId="0" borderId="43" xfId="0" applyNumberFormat="1" applyFont="1" applyBorder="1" applyAlignment="1" applyProtection="1">
      <alignment horizontal="center"/>
    </xf>
    <xf numFmtId="0" fontId="5" fillId="0" borderId="0" xfId="0" applyFont="1" applyAlignment="1" applyProtection="1">
      <alignment horizontal="center" vertical="center" wrapText="1"/>
    </xf>
    <xf numFmtId="3" fontId="3" fillId="0" borderId="0" xfId="0" applyNumberFormat="1" applyFont="1" applyFill="1" applyBorder="1" applyAlignment="1" applyProtection="1">
      <alignment horizontal="center"/>
    </xf>
    <xf numFmtId="3" fontId="3" fillId="2" borderId="0" xfId="0" applyNumberFormat="1" applyFont="1" applyFill="1" applyAlignment="1" applyProtection="1">
      <alignment horizontal="right"/>
    </xf>
    <xf numFmtId="14" fontId="3" fillId="0" borderId="0" xfId="0" applyNumberFormat="1" applyFont="1" applyFill="1" applyAlignment="1" applyProtection="1">
      <alignment horizontal="center" vertical="center"/>
    </xf>
    <xf numFmtId="14" fontId="3" fillId="2" borderId="0" xfId="0" applyNumberFormat="1" applyFont="1" applyFill="1" applyAlignment="1" applyProtection="1">
      <alignment horizontal="right" vertical="center"/>
    </xf>
    <xf numFmtId="165" fontId="3" fillId="0" borderId="0" xfId="0" applyNumberFormat="1" applyFont="1" applyFill="1" applyAlignment="1" applyProtection="1">
      <alignment horizontal="right" vertical="center"/>
    </xf>
    <xf numFmtId="0" fontId="11" fillId="0" borderId="0" xfId="0" applyFont="1" applyAlignment="1" applyProtection="1">
      <alignment horizontal="center" wrapText="1"/>
    </xf>
    <xf numFmtId="0" fontId="3" fillId="0" borderId="7" xfId="0" applyFont="1" applyFill="1" applyBorder="1" applyAlignment="1" applyProtection="1">
      <alignment horizontal="center" vertical="center"/>
    </xf>
    <xf numFmtId="0" fontId="3" fillId="0" borderId="0" xfId="0" applyFont="1" applyAlignment="1" applyProtection="1">
      <alignment horizontal="center" vertical="center" wrapText="1"/>
    </xf>
    <xf numFmtId="1" fontId="3" fillId="0" borderId="0" xfId="0" applyNumberFormat="1" applyFont="1" applyFill="1" applyAlignment="1" applyProtection="1">
      <alignment horizontal="center" vertical="center"/>
    </xf>
    <xf numFmtId="0" fontId="3" fillId="0" borderId="6" xfId="0" applyFont="1" applyFill="1" applyBorder="1" applyAlignment="1" applyProtection="1">
      <alignment horizontal="center" vertical="center"/>
    </xf>
    <xf numFmtId="0" fontId="5" fillId="0" borderId="0" xfId="0" applyFont="1" applyFill="1" applyAlignment="1" applyProtection="1">
      <alignment horizontal="center" vertical="center" wrapText="1"/>
    </xf>
    <xf numFmtId="0" fontId="3" fillId="0" borderId="1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8" fillId="0" borderId="0" xfId="0" applyFont="1" applyProtection="1"/>
    <xf numFmtId="0" fontId="18"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9" fillId="0" borderId="0" xfId="0" applyFont="1" applyProtection="1"/>
    <xf numFmtId="0" fontId="37" fillId="0" borderId="0" xfId="0" applyFont="1" applyProtection="1"/>
    <xf numFmtId="165" fontId="20" fillId="4" borderId="0" xfId="0" applyNumberFormat="1" applyFont="1" applyFill="1" applyAlignment="1" applyProtection="1">
      <alignment vertical="center"/>
      <protection locked="0"/>
    </xf>
    <xf numFmtId="165" fontId="3" fillId="2" borderId="0" xfId="0" applyNumberFormat="1" applyFont="1" applyFill="1" applyAlignment="1" applyProtection="1">
      <alignment vertical="center"/>
      <protection locked="0"/>
    </xf>
    <xf numFmtId="0" fontId="39" fillId="0" borderId="0" xfId="10" applyFont="1" applyProtection="1">
      <protection locked="0"/>
    </xf>
    <xf numFmtId="0" fontId="21" fillId="0" borderId="0" xfId="10" applyFont="1" applyBorder="1" applyProtection="1"/>
    <xf numFmtId="0" fontId="21" fillId="0" borderId="0" xfId="10" applyFont="1" applyBorder="1" applyProtection="1">
      <protection locked="0"/>
    </xf>
    <xf numFmtId="0" fontId="21" fillId="0" borderId="46" xfId="10" applyFont="1" applyBorder="1" applyProtection="1"/>
    <xf numFmtId="165" fontId="21" fillId="0" borderId="46" xfId="10" applyNumberFormat="1" applyFont="1" applyBorder="1" applyAlignment="1" applyProtection="1">
      <alignment vertical="center"/>
    </xf>
    <xf numFmtId="0" fontId="21" fillId="2" borderId="46" xfId="10" applyFont="1" applyFill="1" applyBorder="1" applyProtection="1"/>
    <xf numFmtId="0" fontId="21" fillId="0" borderId="46" xfId="10" applyFont="1" applyBorder="1" applyAlignment="1" applyProtection="1">
      <alignment horizontal="center"/>
    </xf>
    <xf numFmtId="0" fontId="21" fillId="0" borderId="46" xfId="10" applyFont="1" applyBorder="1" applyAlignment="1" applyProtection="1">
      <alignment horizontal="center" vertical="center"/>
    </xf>
    <xf numFmtId="0" fontId="40" fillId="0" borderId="46" xfId="10" applyFont="1" applyBorder="1" applyAlignment="1" applyProtection="1">
      <alignment horizontal="center"/>
    </xf>
    <xf numFmtId="165" fontId="21" fillId="0" borderId="46" xfId="10" applyNumberFormat="1" applyFont="1" applyBorder="1" applyProtection="1"/>
    <xf numFmtId="2" fontId="21" fillId="0" borderId="46" xfId="10" applyNumberFormat="1" applyFont="1" applyBorder="1" applyAlignment="1" applyProtection="1">
      <alignment vertical="center"/>
    </xf>
    <xf numFmtId="0" fontId="21" fillId="3" borderId="46" xfId="10" applyFont="1" applyFill="1" applyBorder="1" applyProtection="1"/>
    <xf numFmtId="166" fontId="21" fillId="3" borderId="46" xfId="10" applyNumberFormat="1" applyFont="1" applyFill="1" applyBorder="1" applyProtection="1"/>
    <xf numFmtId="165" fontId="21" fillId="0" borderId="49" xfId="10" applyNumberFormat="1" applyFont="1" applyBorder="1" applyProtection="1"/>
    <xf numFmtId="0" fontId="21" fillId="0" borderId="50" xfId="10" applyFont="1" applyBorder="1" applyProtection="1"/>
    <xf numFmtId="0" fontId="21" fillId="0" borderId="49" xfId="10" applyFont="1" applyBorder="1" applyProtection="1"/>
    <xf numFmtId="165" fontId="21" fillId="0" borderId="51" xfId="10" applyNumberFormat="1" applyFont="1" applyBorder="1" applyProtection="1"/>
    <xf numFmtId="0" fontId="21" fillId="0" borderId="52" xfId="10" applyFont="1" applyBorder="1" applyProtection="1"/>
    <xf numFmtId="165" fontId="21" fillId="0" borderId="46" xfId="10" applyNumberFormat="1" applyFont="1" applyBorder="1" applyAlignment="1" applyProtection="1">
      <alignment horizontal="center" vertical="center"/>
    </xf>
    <xf numFmtId="0" fontId="21" fillId="0" borderId="46" xfId="10" applyFont="1" applyBorder="1" applyAlignment="1" applyProtection="1">
      <alignment horizontal="right" vertical="center"/>
    </xf>
    <xf numFmtId="0" fontId="26" fillId="0" borderId="0" xfId="0" applyFont="1" applyAlignment="1" applyProtection="1">
      <alignment horizontal="center" vertical="center" wrapText="1"/>
    </xf>
    <xf numFmtId="0" fontId="11" fillId="0" borderId="0" xfId="0" applyFont="1" applyAlignment="1" applyProtection="1">
      <alignment horizontal="center" vertical="center" wrapText="1"/>
    </xf>
    <xf numFmtId="0" fontId="11" fillId="0" borderId="0" xfId="0" applyFont="1" applyAlignment="1" applyProtection="1">
      <alignment horizontal="center" wrapText="1"/>
    </xf>
    <xf numFmtId="1" fontId="3" fillId="0" borderId="32" xfId="0" applyNumberFormat="1" applyFont="1" applyBorder="1" applyAlignment="1" applyProtection="1">
      <alignment horizontal="center" vertical="center" wrapText="1"/>
    </xf>
    <xf numFmtId="1" fontId="3" fillId="0" borderId="33" xfId="0" applyNumberFormat="1" applyFont="1" applyBorder="1" applyAlignment="1" applyProtection="1">
      <alignment horizontal="center" vertical="center" wrapText="1"/>
    </xf>
    <xf numFmtId="1" fontId="3" fillId="0" borderId="34" xfId="0" applyNumberFormat="1" applyFont="1" applyBorder="1" applyAlignment="1" applyProtection="1">
      <alignment horizontal="center" vertical="center" wrapText="1"/>
    </xf>
    <xf numFmtId="0" fontId="3" fillId="0" borderId="0" xfId="0" applyFont="1" applyAlignment="1" applyProtection="1">
      <alignment horizontal="righ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xf numFmtId="168" fontId="3" fillId="0" borderId="0" xfId="0" applyNumberFormat="1" applyFont="1" applyFill="1" applyAlignment="1" applyProtection="1">
      <alignment horizontal="center" vertical="center" wrapText="1"/>
    </xf>
    <xf numFmtId="168" fontId="3" fillId="0" borderId="0" xfId="0" applyNumberFormat="1" applyFont="1" applyFill="1" applyAlignment="1" applyProtection="1">
      <alignment horizontal="center" wrapText="1"/>
    </xf>
    <xf numFmtId="165" fontId="3" fillId="0" borderId="0" xfId="0" applyNumberFormat="1" applyFont="1" applyAlignment="1" applyProtection="1">
      <alignment vertical="center" wrapText="1"/>
    </xf>
    <xf numFmtId="0" fontId="3" fillId="0" borderId="0" xfId="0" applyFont="1" applyAlignment="1" applyProtection="1">
      <alignment wrapText="1"/>
    </xf>
    <xf numFmtId="0" fontId="19"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0" fontId="5" fillId="0" borderId="27" xfId="0" applyFont="1" applyBorder="1" applyAlignment="1" applyProtection="1">
      <alignment horizontal="center" wrapText="1"/>
    </xf>
    <xf numFmtId="0" fontId="5" fillId="0" borderId="29" xfId="0" applyFont="1" applyBorder="1" applyAlignment="1" applyProtection="1">
      <alignment horizontal="center" wrapText="1"/>
    </xf>
    <xf numFmtId="0" fontId="5" fillId="0" borderId="30" xfId="0" applyFont="1" applyBorder="1" applyAlignment="1" applyProtection="1">
      <alignment horizontal="center" wrapText="1"/>
    </xf>
    <xf numFmtId="0" fontId="5" fillId="0" borderId="31" xfId="0" applyFont="1" applyBorder="1" applyAlignment="1" applyProtection="1">
      <alignment horizontal="center" wrapText="1"/>
    </xf>
    <xf numFmtId="0" fontId="5" fillId="0" borderId="28" xfId="0" applyFont="1" applyBorder="1" applyAlignment="1" applyProtection="1">
      <alignment horizontal="center" wrapText="1"/>
    </xf>
    <xf numFmtId="0" fontId="6" fillId="0" borderId="29" xfId="0" applyFont="1" applyBorder="1" applyAlignment="1" applyProtection="1">
      <alignment wrapText="1"/>
    </xf>
    <xf numFmtId="0" fontId="5" fillId="0" borderId="32" xfId="0" applyFont="1" applyBorder="1" applyAlignment="1" applyProtection="1">
      <alignment horizontal="center" wrapText="1"/>
    </xf>
    <xf numFmtId="0" fontId="5" fillId="0" borderId="33" xfId="0" applyFont="1" applyBorder="1" applyAlignment="1" applyProtection="1">
      <alignment horizontal="center" wrapText="1"/>
    </xf>
    <xf numFmtId="0" fontId="6" fillId="0" borderId="34" xfId="0" applyFont="1" applyBorder="1" applyAlignment="1" applyProtection="1">
      <alignment wrapText="1"/>
    </xf>
    <xf numFmtId="0" fontId="6" fillId="0" borderId="28" xfId="0" applyFont="1" applyBorder="1" applyAlignment="1" applyProtection="1">
      <alignment wrapText="1"/>
    </xf>
    <xf numFmtId="0" fontId="6" fillId="0" borderId="33" xfId="0" applyFont="1" applyBorder="1" applyAlignment="1" applyProtection="1">
      <alignment wrapText="1"/>
    </xf>
    <xf numFmtId="0" fontId="6" fillId="0" borderId="0" xfId="0" applyFont="1" applyAlignment="1">
      <alignment horizontal="center" wrapText="1"/>
    </xf>
    <xf numFmtId="0" fontId="6" fillId="0" borderId="0" xfId="0" applyFont="1" applyAlignment="1">
      <alignment horizontal="center" vertical="center" wrapText="1"/>
    </xf>
    <xf numFmtId="0" fontId="19" fillId="0" borderId="0" xfId="0" applyFont="1" applyAlignment="1" applyProtection="1">
      <alignment horizontal="center" vertical="center" wrapText="1"/>
    </xf>
    <xf numFmtId="0" fontId="3" fillId="0" borderId="0" xfId="0" applyFont="1" applyAlignment="1" applyProtection="1">
      <alignment horizontal="left" vertical="top" wrapText="1"/>
    </xf>
    <xf numFmtId="0" fontId="11" fillId="0" borderId="0" xfId="0" applyFont="1" applyAlignment="1" applyProtection="1">
      <alignment horizontal="center" vertical="center"/>
    </xf>
    <xf numFmtId="0" fontId="17" fillId="0" borderId="0" xfId="0" applyFont="1" applyAlignment="1" applyProtection="1">
      <alignment horizontal="center" vertical="center"/>
    </xf>
    <xf numFmtId="0" fontId="11" fillId="0" borderId="0" xfId="0" applyFont="1" applyAlignment="1" applyProtection="1">
      <alignment vertical="center"/>
    </xf>
    <xf numFmtId="0" fontId="6" fillId="0" borderId="0" xfId="0" applyFont="1" applyAlignment="1" applyProtection="1">
      <alignment vertical="center"/>
    </xf>
    <xf numFmtId="0" fontId="11" fillId="0" borderId="19" xfId="0" applyFont="1" applyBorder="1" applyAlignment="1" applyProtection="1">
      <alignment horizontal="center" vertical="center"/>
    </xf>
    <xf numFmtId="0" fontId="6" fillId="0" borderId="19" xfId="0" applyFont="1" applyBorder="1" applyAlignment="1" applyProtection="1"/>
    <xf numFmtId="0" fontId="4" fillId="0" borderId="19" xfId="0" applyFont="1" applyBorder="1" applyAlignment="1" applyProtection="1">
      <alignment horizontal="center" vertical="center"/>
    </xf>
    <xf numFmtId="1" fontId="3" fillId="0" borderId="20" xfId="0" applyNumberFormat="1" applyFont="1" applyBorder="1" applyAlignment="1" applyProtection="1">
      <alignment horizontal="center" vertical="center"/>
    </xf>
    <xf numFmtId="0" fontId="6" fillId="0" borderId="21" xfId="0" applyFont="1" applyBorder="1" applyAlignment="1" applyProtection="1"/>
    <xf numFmtId="1" fontId="3" fillId="2" borderId="20" xfId="0" applyNumberFormat="1" applyFont="1" applyFill="1" applyBorder="1" applyAlignment="1" applyProtection="1">
      <alignment horizontal="center" vertical="center"/>
      <protection locked="0"/>
    </xf>
    <xf numFmtId="1" fontId="3" fillId="2" borderId="21" xfId="0" applyNumberFormat="1"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6" fillId="2" borderId="24" xfId="0" applyFont="1" applyFill="1" applyBorder="1" applyAlignment="1" applyProtection="1">
      <protection locked="0"/>
    </xf>
    <xf numFmtId="0" fontId="6" fillId="2" borderId="21" xfId="0" applyFont="1" applyFill="1" applyBorder="1" applyAlignment="1" applyProtection="1">
      <protection locked="0"/>
    </xf>
    <xf numFmtId="0" fontId="6" fillId="0" borderId="24" xfId="0" applyFont="1" applyBorder="1" applyAlignment="1" applyProtection="1">
      <protection locked="0"/>
    </xf>
    <xf numFmtId="0" fontId="6" fillId="0" borderId="21" xfId="0" applyFont="1" applyBorder="1" applyAlignment="1" applyProtection="1">
      <protection locked="0"/>
    </xf>
    <xf numFmtId="0" fontId="5" fillId="2" borderId="0" xfId="0" applyFont="1" applyFill="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3" fontId="3" fillId="2" borderId="0" xfId="0" applyNumberFormat="1" applyFont="1" applyFill="1" applyAlignment="1" applyProtection="1">
      <alignment horizontal="center"/>
      <protection locked="0"/>
    </xf>
    <xf numFmtId="0" fontId="16" fillId="0" borderId="0" xfId="0" applyFont="1" applyAlignment="1" applyProtection="1">
      <alignment horizontal="center" vertical="center"/>
    </xf>
    <xf numFmtId="0" fontId="17" fillId="0" borderId="0" xfId="0" applyFont="1" applyAlignment="1" applyProtection="1">
      <alignment horizontal="center"/>
    </xf>
    <xf numFmtId="0" fontId="3" fillId="2" borderId="0" xfId="0" applyFont="1" applyFill="1" applyAlignment="1" applyProtection="1">
      <alignment horizontal="left" vertical="center" wrapText="1"/>
      <protection locked="0"/>
    </xf>
    <xf numFmtId="0" fontId="6" fillId="0" borderId="0" xfId="0" applyFont="1" applyAlignment="1" applyProtection="1">
      <alignment vertical="center"/>
      <protection locked="0"/>
    </xf>
    <xf numFmtId="0" fontId="3" fillId="0" borderId="0" xfId="4" applyFont="1" applyAlignment="1" applyProtection="1">
      <alignment vertical="center" wrapText="1"/>
    </xf>
    <xf numFmtId="0" fontId="3" fillId="0" borderId="20"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21" xfId="0" applyFont="1" applyBorder="1" applyAlignment="1" applyProtection="1"/>
    <xf numFmtId="0" fontId="20" fillId="0" borderId="20" xfId="0" applyFont="1" applyBorder="1" applyAlignment="1" applyProtection="1">
      <alignment vertical="center"/>
    </xf>
    <xf numFmtId="0" fontId="20" fillId="0" borderId="24" xfId="0" applyFont="1" applyBorder="1" applyAlignment="1" applyProtection="1"/>
    <xf numFmtId="0" fontId="5" fillId="0" borderId="0" xfId="0" applyFont="1" applyAlignment="1" applyProtection="1">
      <alignment horizontal="center" vertical="center" wrapText="1"/>
      <protection locked="0"/>
    </xf>
    <xf numFmtId="3" fontId="3" fillId="0" borderId="0" xfId="0" applyNumberFormat="1" applyFont="1" applyFill="1" applyBorder="1" applyAlignment="1" applyProtection="1">
      <alignment horizontal="center"/>
    </xf>
    <xf numFmtId="0" fontId="11" fillId="0" borderId="0" xfId="0" applyFont="1" applyAlignment="1" applyProtection="1">
      <alignment horizontal="center"/>
    </xf>
    <xf numFmtId="0" fontId="3" fillId="0" borderId="20" xfId="0" applyFont="1" applyFill="1" applyBorder="1" applyAlignment="1" applyProtection="1">
      <alignment horizontal="left" vertical="center" wrapText="1"/>
    </xf>
    <xf numFmtId="0" fontId="3" fillId="0" borderId="24"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xf>
    <xf numFmtId="0" fontId="5" fillId="0" borderId="0" xfId="0" applyFont="1" applyAlignment="1" applyProtection="1">
      <alignment horizontal="center" vertical="center" wrapText="1"/>
    </xf>
    <xf numFmtId="0" fontId="3" fillId="0" borderId="0" xfId="0" applyFont="1" applyAlignment="1" applyProtection="1">
      <alignment horizontal="right"/>
    </xf>
    <xf numFmtId="0" fontId="3" fillId="0" borderId="0" xfId="0" applyFont="1" applyAlignment="1" applyProtection="1">
      <alignment horizontal="center" vertical="center" wrapText="1"/>
    </xf>
    <xf numFmtId="0" fontId="3" fillId="0" borderId="39" xfId="0" applyFont="1" applyBorder="1" applyAlignment="1" applyProtection="1">
      <alignment horizontal="center" wrapText="1"/>
    </xf>
    <xf numFmtId="0" fontId="6" fillId="0" borderId="42" xfId="0" applyFont="1" applyBorder="1" applyAlignment="1" applyProtection="1">
      <alignment horizontal="center"/>
    </xf>
    <xf numFmtId="0" fontId="3" fillId="0" borderId="40" xfId="0" applyFont="1" applyBorder="1" applyAlignment="1" applyProtection="1">
      <alignment horizontal="center" wrapText="1"/>
    </xf>
    <xf numFmtId="0" fontId="6" fillId="0" borderId="43" xfId="0" applyFont="1" applyBorder="1" applyAlignment="1" applyProtection="1">
      <alignment horizontal="center"/>
    </xf>
    <xf numFmtId="0" fontId="19" fillId="0" borderId="27" xfId="0" applyFont="1" applyFill="1" applyBorder="1" applyAlignment="1" applyProtection="1">
      <alignment horizontal="center" vertical="center"/>
    </xf>
    <xf numFmtId="0" fontId="6" fillId="0" borderId="29" xfId="0" applyFont="1" applyBorder="1" applyAlignment="1" applyProtection="1">
      <alignment horizontal="center" vertical="center"/>
    </xf>
    <xf numFmtId="0" fontId="11" fillId="0" borderId="2" xfId="0" applyFont="1" applyBorder="1" applyAlignment="1" applyProtection="1">
      <alignment horizontal="center" vertical="center"/>
    </xf>
    <xf numFmtId="0" fontId="6" fillId="0" borderId="11" xfId="0" applyFont="1" applyBorder="1" applyAlignment="1" applyProtection="1">
      <alignment horizontal="center"/>
    </xf>
    <xf numFmtId="0" fontId="11" fillId="0" borderId="25" xfId="0" applyFont="1" applyBorder="1" applyAlignment="1" applyProtection="1">
      <alignment horizontal="center" vertical="center"/>
    </xf>
    <xf numFmtId="0" fontId="6" fillId="0" borderId="26" xfId="0" applyFont="1" applyBorder="1" applyAlignment="1" applyProtection="1">
      <alignment horizontal="center"/>
    </xf>
    <xf numFmtId="0" fontId="3" fillId="0" borderId="20"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3" fillId="0" borderId="0" xfId="0" applyFont="1" applyAlignment="1" applyProtection="1">
      <alignment horizontal="center"/>
    </xf>
    <xf numFmtId="0" fontId="6" fillId="0" borderId="0" xfId="0" applyFont="1" applyAlignment="1" applyProtection="1">
      <alignment horizontal="center"/>
    </xf>
    <xf numFmtId="167" fontId="21" fillId="0" borderId="46" xfId="10" applyNumberFormat="1" applyFont="1" applyBorder="1" applyAlignment="1" applyProtection="1"/>
    <xf numFmtId="0" fontId="21" fillId="0" borderId="46" xfId="0" applyFont="1" applyBorder="1" applyAlignment="1" applyProtection="1"/>
    <xf numFmtId="0" fontId="21" fillId="0" borderId="46" xfId="10" applyFont="1" applyBorder="1" applyAlignment="1" applyProtection="1"/>
    <xf numFmtId="0" fontId="21" fillId="0" borderId="46" xfId="10" applyFont="1" applyBorder="1" applyAlignment="1" applyProtection="1">
      <alignment horizontal="right" vertical="center"/>
    </xf>
    <xf numFmtId="0" fontId="21" fillId="0" borderId="46" xfId="0" applyFont="1" applyBorder="1" applyAlignment="1" applyProtection="1">
      <alignment horizontal="right" vertical="center"/>
    </xf>
    <xf numFmtId="165" fontId="21" fillId="0" borderId="46" xfId="10" applyNumberFormat="1" applyFont="1" applyBorder="1" applyAlignment="1" applyProtection="1">
      <alignment horizontal="center" vertical="center"/>
    </xf>
    <xf numFmtId="0" fontId="21" fillId="0" borderId="46" xfId="0" applyFont="1" applyBorder="1" applyAlignment="1"/>
    <xf numFmtId="0" fontId="41" fillId="0" borderId="47" xfId="10" applyFont="1" applyBorder="1" applyAlignment="1" applyProtection="1">
      <alignment horizontal="center"/>
    </xf>
    <xf numFmtId="0" fontId="41" fillId="0" borderId="48" xfId="0" applyFont="1" applyBorder="1" applyAlignment="1" applyProtection="1">
      <alignment horizontal="center"/>
    </xf>
    <xf numFmtId="0" fontId="3" fillId="0" borderId="0" xfId="10" applyFont="1" applyProtection="1">
      <protection locked="0"/>
    </xf>
    <xf numFmtId="0" fontId="3" fillId="0" borderId="0" xfId="10" applyFont="1" applyBorder="1" applyProtection="1">
      <protection locked="0"/>
    </xf>
  </cellXfs>
  <cellStyles count="12">
    <cellStyle name="Datum" xfId="9" xr:uid="{00000000-0005-0000-0000-000000000000}"/>
    <cellStyle name="Fest" xfId="1" xr:uid="{00000000-0005-0000-0000-000001000000}"/>
    <cellStyle name="Gesamt" xfId="2" xr:uid="{00000000-0005-0000-0000-000002000000}"/>
    <cellStyle name="Komma0" xfId="3" xr:uid="{00000000-0005-0000-0000-000003000000}"/>
    <cellStyle name="Standard" xfId="0" builtinId="0"/>
    <cellStyle name="Standard 2" xfId="4" xr:uid="{00000000-0005-0000-0000-000005000000}"/>
    <cellStyle name="Standard 3" xfId="10" xr:uid="{9755FE85-182D-4427-9DD2-BD0FAA84CFA2}"/>
    <cellStyle name="Standard 4" xfId="11" xr:uid="{A4A79B4E-896E-4FDD-A289-848BC7118F24}"/>
    <cellStyle name="Standard_4026" xfId="5" xr:uid="{00000000-0005-0000-0000-000006000000}"/>
    <cellStyle name="Währung0" xfId="6" xr:uid="{00000000-0005-0000-0000-000007000000}"/>
    <cellStyle name="Zeile 1" xfId="7" xr:uid="{00000000-0005-0000-0000-000008000000}"/>
    <cellStyle name="Zeile 2" xfId="8" xr:uid="{00000000-0005-0000-0000-000009000000}"/>
  </cellStyles>
  <dxfs count="35">
    <dxf>
      <font>
        <b/>
        <i val="0"/>
        <color rgb="FFFFC000"/>
      </font>
    </dxf>
    <dxf>
      <font>
        <color auto="1"/>
      </font>
      <fill>
        <patternFill>
          <bgColor theme="0" tint="-0.14996795556505021"/>
        </patternFill>
      </fill>
    </dxf>
    <dxf>
      <font>
        <color auto="1"/>
      </font>
      <fill>
        <patternFill>
          <bgColor theme="0" tint="-0.14996795556505021"/>
        </patternFill>
      </fill>
    </dxf>
    <dxf>
      <fill>
        <patternFill>
          <bgColor theme="0" tint="-4.9989318521683403E-2"/>
        </patternFill>
      </fill>
    </dxf>
    <dxf>
      <fill>
        <patternFill>
          <bgColor theme="0" tint="-4.9989318521683403E-2"/>
        </patternFill>
      </fill>
    </dxf>
    <dxf>
      <font>
        <b/>
        <i val="0"/>
        <color rgb="FF00B050"/>
      </font>
    </dxf>
    <dxf>
      <font>
        <color rgb="FFFFC000"/>
      </font>
    </dxf>
    <dxf>
      <font>
        <b/>
        <i val="0"/>
        <color rgb="FF00B050"/>
      </font>
    </dxf>
    <dxf>
      <font>
        <b/>
        <i val="0"/>
        <color rgb="FF00B050"/>
      </font>
    </dxf>
    <dxf>
      <font>
        <color rgb="FF00B050"/>
      </font>
    </dxf>
    <dxf>
      <font>
        <color rgb="FF00B050"/>
      </font>
    </dxf>
    <dxf>
      <font>
        <color rgb="FF00B050"/>
      </font>
    </dxf>
    <dxf>
      <font>
        <color rgb="FFFF0000"/>
      </font>
    </dxf>
    <dxf>
      <font>
        <color rgb="FFFFC000"/>
      </font>
    </dxf>
    <dxf>
      <font>
        <color rgb="FFFFC000"/>
      </font>
    </dxf>
    <dxf>
      <font>
        <color rgb="FFFF0000"/>
      </font>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tint="-0.49998474074526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1600"/>
              <a:t>v</a:t>
            </a:r>
            <a:r>
              <a:rPr lang="de-AT" sz="1600" baseline="-25000"/>
              <a:t>50</a:t>
            </a:r>
            <a:r>
              <a:rPr lang="de-AT" sz="1600"/>
              <a:t>-Auswertung </a:t>
            </a:r>
          </a:p>
        </c:rich>
      </c:tx>
      <c:overlay val="0"/>
    </c:title>
    <c:autoTitleDeleted val="0"/>
    <c:plotArea>
      <c:layout>
        <c:manualLayout>
          <c:layoutTarget val="inner"/>
          <c:xMode val="edge"/>
          <c:yMode val="edge"/>
          <c:x val="7.7754384223276546E-2"/>
          <c:y val="9.445025539553463E-2"/>
          <c:w val="0.8802016258725377"/>
          <c:h val="0.78671151087825053"/>
        </c:manualLayout>
      </c:layout>
      <c:scatterChart>
        <c:scatterStyle val="lineMarker"/>
        <c:varyColors val="0"/>
        <c:ser>
          <c:idx val="0"/>
          <c:order val="0"/>
          <c:tx>
            <c:v>relative Durchschusshäufigkeit Fk</c:v>
          </c:tx>
          <c:spPr>
            <a:ln w="28575">
              <a:noFill/>
            </a:ln>
          </c:spPr>
          <c:xVal>
            <c:numRef>
              <c:f>'v50-Kurve'!$P$7:$P$36</c:f>
              <c:numCache>
                <c:formatCode>0.0</c:formatCode>
                <c:ptCount val="30"/>
                <c:pt idx="0">
                  <c:v>2.5</c:v>
                </c:pt>
                <c:pt idx="1">
                  <c:v>7.5</c:v>
                </c:pt>
                <c:pt idx="2">
                  <c:v>12.5</c:v>
                </c:pt>
                <c:pt idx="3">
                  <c:v>17.5</c:v>
                </c:pt>
                <c:pt idx="4">
                  <c:v>22.5</c:v>
                </c:pt>
                <c:pt idx="5">
                  <c:v>27.5</c:v>
                </c:pt>
                <c:pt idx="6">
                  <c:v>32.5</c:v>
                </c:pt>
                <c:pt idx="7">
                  <c:v>37.5</c:v>
                </c:pt>
                <c:pt idx="8">
                  <c:v>42.5</c:v>
                </c:pt>
                <c:pt idx="9">
                  <c:v>47.5</c:v>
                </c:pt>
                <c:pt idx="10">
                  <c:v>52.5</c:v>
                </c:pt>
                <c:pt idx="11">
                  <c:v>57.5</c:v>
                </c:pt>
                <c:pt idx="12">
                  <c:v>62.5</c:v>
                </c:pt>
                <c:pt idx="13">
                  <c:v>67.5</c:v>
                </c:pt>
                <c:pt idx="14">
                  <c:v>72.5</c:v>
                </c:pt>
                <c:pt idx="15">
                  <c:v>77.5</c:v>
                </c:pt>
                <c:pt idx="16">
                  <c:v>82.5</c:v>
                </c:pt>
                <c:pt idx="17">
                  <c:v>87.5</c:v>
                </c:pt>
                <c:pt idx="18">
                  <c:v>92.5</c:v>
                </c:pt>
                <c:pt idx="19">
                  <c:v>97.5</c:v>
                </c:pt>
                <c:pt idx="20">
                  <c:v>102.5</c:v>
                </c:pt>
                <c:pt idx="21">
                  <c:v>107.5</c:v>
                </c:pt>
                <c:pt idx="22">
                  <c:v>112.5</c:v>
                </c:pt>
                <c:pt idx="23">
                  <c:v>117.5</c:v>
                </c:pt>
                <c:pt idx="24">
                  <c:v>122.5</c:v>
                </c:pt>
                <c:pt idx="25">
                  <c:v>127.5</c:v>
                </c:pt>
                <c:pt idx="26">
                  <c:v>132.5</c:v>
                </c:pt>
                <c:pt idx="27">
                  <c:v>137.5</c:v>
                </c:pt>
                <c:pt idx="28">
                  <c:v>142.5</c:v>
                </c:pt>
                <c:pt idx="29">
                  <c:v>147.5</c:v>
                </c:pt>
              </c:numCache>
            </c:numRef>
          </c:xVal>
          <c:yVal>
            <c:numRef>
              <c:f>'v50-Kurve'!$Q$7:$Q$36</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0"/>
          <c:extLst>
            <c:ext xmlns:c16="http://schemas.microsoft.com/office/drawing/2014/chart" uri="{C3380CC4-5D6E-409C-BE32-E72D297353CC}">
              <c16:uniqueId val="{00000000-0BFE-42BF-A35D-1F8EAC2896CB}"/>
            </c:ext>
          </c:extLst>
        </c:ser>
        <c:dLbls>
          <c:showLegendKey val="0"/>
          <c:showVal val="0"/>
          <c:showCatName val="0"/>
          <c:showSerName val="0"/>
          <c:showPercent val="0"/>
          <c:showBubbleSize val="0"/>
        </c:dLbls>
        <c:axId val="1249320128"/>
        <c:axId val="1"/>
      </c:scatterChart>
      <c:scatterChart>
        <c:scatterStyle val="smoothMarker"/>
        <c:varyColors val="0"/>
        <c:ser>
          <c:idx val="1"/>
          <c:order val="1"/>
          <c:tx>
            <c:v>Verteilungsfunktion</c:v>
          </c:tx>
          <c:spPr>
            <a:ln w="28575">
              <a:solidFill>
                <a:prstClr val="black"/>
              </a:solidFill>
            </a:ln>
          </c:spPr>
          <c:marker>
            <c:symbol val="none"/>
          </c:marker>
          <c:xVal>
            <c:numRef>
              <c:f>'v50-Kurve'!$P$38:$P$220</c:f>
              <c:numCache>
                <c:formatCode>0.0</c:formatCode>
                <c:ptCount val="183"/>
                <c:pt idx="0">
                  <c:v>-100</c:v>
                </c:pt>
                <c:pt idx="1">
                  <c:v>-98.5</c:v>
                </c:pt>
                <c:pt idx="2">
                  <c:v>-97</c:v>
                </c:pt>
                <c:pt idx="3">
                  <c:v>-95.5</c:v>
                </c:pt>
                <c:pt idx="4">
                  <c:v>-94</c:v>
                </c:pt>
                <c:pt idx="5">
                  <c:v>-92.5</c:v>
                </c:pt>
                <c:pt idx="6">
                  <c:v>-91</c:v>
                </c:pt>
                <c:pt idx="7">
                  <c:v>-89.5</c:v>
                </c:pt>
                <c:pt idx="8">
                  <c:v>-88</c:v>
                </c:pt>
                <c:pt idx="9">
                  <c:v>-86.5</c:v>
                </c:pt>
                <c:pt idx="10">
                  <c:v>-85</c:v>
                </c:pt>
                <c:pt idx="11">
                  <c:v>-83.5</c:v>
                </c:pt>
                <c:pt idx="12">
                  <c:v>-82</c:v>
                </c:pt>
                <c:pt idx="13">
                  <c:v>-80.5</c:v>
                </c:pt>
                <c:pt idx="14">
                  <c:v>-79</c:v>
                </c:pt>
                <c:pt idx="15">
                  <c:v>-77.5</c:v>
                </c:pt>
                <c:pt idx="16">
                  <c:v>-76</c:v>
                </c:pt>
                <c:pt idx="17">
                  <c:v>-74.5</c:v>
                </c:pt>
                <c:pt idx="18">
                  <c:v>-73</c:v>
                </c:pt>
                <c:pt idx="19">
                  <c:v>-71.5</c:v>
                </c:pt>
                <c:pt idx="20">
                  <c:v>-70</c:v>
                </c:pt>
                <c:pt idx="21">
                  <c:v>-68.5</c:v>
                </c:pt>
                <c:pt idx="22">
                  <c:v>-67</c:v>
                </c:pt>
                <c:pt idx="23">
                  <c:v>-65.5</c:v>
                </c:pt>
                <c:pt idx="24">
                  <c:v>-64</c:v>
                </c:pt>
                <c:pt idx="25">
                  <c:v>-62.5</c:v>
                </c:pt>
                <c:pt idx="26">
                  <c:v>-61</c:v>
                </c:pt>
                <c:pt idx="27">
                  <c:v>-59.5</c:v>
                </c:pt>
                <c:pt idx="28">
                  <c:v>-58</c:v>
                </c:pt>
                <c:pt idx="29">
                  <c:v>-56.5</c:v>
                </c:pt>
                <c:pt idx="30">
                  <c:v>-55</c:v>
                </c:pt>
                <c:pt idx="31">
                  <c:v>-53.5</c:v>
                </c:pt>
                <c:pt idx="32">
                  <c:v>-52</c:v>
                </c:pt>
                <c:pt idx="33">
                  <c:v>-50.5</c:v>
                </c:pt>
                <c:pt idx="34">
                  <c:v>-49</c:v>
                </c:pt>
                <c:pt idx="35">
                  <c:v>-47.5</c:v>
                </c:pt>
                <c:pt idx="36">
                  <c:v>-46</c:v>
                </c:pt>
                <c:pt idx="37">
                  <c:v>-44.5</c:v>
                </c:pt>
                <c:pt idx="38">
                  <c:v>-43</c:v>
                </c:pt>
                <c:pt idx="39">
                  <c:v>-41.5</c:v>
                </c:pt>
                <c:pt idx="40">
                  <c:v>-40</c:v>
                </c:pt>
                <c:pt idx="41">
                  <c:v>-38.5</c:v>
                </c:pt>
                <c:pt idx="42">
                  <c:v>-37</c:v>
                </c:pt>
                <c:pt idx="43">
                  <c:v>-35.5</c:v>
                </c:pt>
                <c:pt idx="44">
                  <c:v>-34</c:v>
                </c:pt>
                <c:pt idx="45">
                  <c:v>-32.5</c:v>
                </c:pt>
                <c:pt idx="46">
                  <c:v>-31</c:v>
                </c:pt>
                <c:pt idx="47">
                  <c:v>-29.5</c:v>
                </c:pt>
                <c:pt idx="48">
                  <c:v>-28</c:v>
                </c:pt>
                <c:pt idx="49">
                  <c:v>-26.5</c:v>
                </c:pt>
                <c:pt idx="50">
                  <c:v>-25</c:v>
                </c:pt>
                <c:pt idx="51">
                  <c:v>-23.5</c:v>
                </c:pt>
                <c:pt idx="52">
                  <c:v>-22</c:v>
                </c:pt>
                <c:pt idx="53">
                  <c:v>-20.5</c:v>
                </c:pt>
                <c:pt idx="54">
                  <c:v>-19</c:v>
                </c:pt>
                <c:pt idx="55">
                  <c:v>-17.5</c:v>
                </c:pt>
                <c:pt idx="56">
                  <c:v>-16</c:v>
                </c:pt>
                <c:pt idx="57">
                  <c:v>-14.5</c:v>
                </c:pt>
                <c:pt idx="58">
                  <c:v>-13</c:v>
                </c:pt>
                <c:pt idx="59">
                  <c:v>-11.5</c:v>
                </c:pt>
                <c:pt idx="60">
                  <c:v>-10</c:v>
                </c:pt>
                <c:pt idx="61">
                  <c:v>-8.5</c:v>
                </c:pt>
                <c:pt idx="62">
                  <c:v>-7</c:v>
                </c:pt>
                <c:pt idx="63">
                  <c:v>-5.5</c:v>
                </c:pt>
                <c:pt idx="64">
                  <c:v>-4</c:v>
                </c:pt>
                <c:pt idx="65">
                  <c:v>-2.5</c:v>
                </c:pt>
                <c:pt idx="66">
                  <c:v>-1</c:v>
                </c:pt>
                <c:pt idx="67">
                  <c:v>0.5</c:v>
                </c:pt>
                <c:pt idx="68">
                  <c:v>2</c:v>
                </c:pt>
                <c:pt idx="69">
                  <c:v>3.5</c:v>
                </c:pt>
                <c:pt idx="70">
                  <c:v>5</c:v>
                </c:pt>
                <c:pt idx="71">
                  <c:v>6.5</c:v>
                </c:pt>
                <c:pt idx="72">
                  <c:v>8</c:v>
                </c:pt>
                <c:pt idx="73">
                  <c:v>9.5</c:v>
                </c:pt>
                <c:pt idx="74">
                  <c:v>11</c:v>
                </c:pt>
                <c:pt idx="75">
                  <c:v>12.5</c:v>
                </c:pt>
                <c:pt idx="76">
                  <c:v>14</c:v>
                </c:pt>
                <c:pt idx="77">
                  <c:v>15.5</c:v>
                </c:pt>
                <c:pt idx="78">
                  <c:v>17</c:v>
                </c:pt>
                <c:pt idx="79">
                  <c:v>18.5</c:v>
                </c:pt>
                <c:pt idx="80">
                  <c:v>20</c:v>
                </c:pt>
                <c:pt idx="81">
                  <c:v>21.5</c:v>
                </c:pt>
                <c:pt idx="82">
                  <c:v>23</c:v>
                </c:pt>
                <c:pt idx="83">
                  <c:v>24.5</c:v>
                </c:pt>
                <c:pt idx="84">
                  <c:v>26</c:v>
                </c:pt>
                <c:pt idx="85">
                  <c:v>27.5</c:v>
                </c:pt>
                <c:pt idx="86">
                  <c:v>29</c:v>
                </c:pt>
                <c:pt idx="87">
                  <c:v>30.5</c:v>
                </c:pt>
                <c:pt idx="88">
                  <c:v>32</c:v>
                </c:pt>
                <c:pt idx="89">
                  <c:v>33.5</c:v>
                </c:pt>
                <c:pt idx="90">
                  <c:v>35</c:v>
                </c:pt>
                <c:pt idx="91">
                  <c:v>36.5</c:v>
                </c:pt>
                <c:pt idx="92">
                  <c:v>38</c:v>
                </c:pt>
                <c:pt idx="93">
                  <c:v>39.5</c:v>
                </c:pt>
                <c:pt idx="94">
                  <c:v>41</c:v>
                </c:pt>
                <c:pt idx="95">
                  <c:v>42.5</c:v>
                </c:pt>
                <c:pt idx="96">
                  <c:v>44</c:v>
                </c:pt>
                <c:pt idx="97">
                  <c:v>45.5</c:v>
                </c:pt>
                <c:pt idx="98">
                  <c:v>47</c:v>
                </c:pt>
                <c:pt idx="99">
                  <c:v>48.5</c:v>
                </c:pt>
                <c:pt idx="100">
                  <c:v>50</c:v>
                </c:pt>
                <c:pt idx="101">
                  <c:v>51.5</c:v>
                </c:pt>
                <c:pt idx="102">
                  <c:v>53</c:v>
                </c:pt>
                <c:pt idx="103">
                  <c:v>54.5</c:v>
                </c:pt>
                <c:pt idx="104">
                  <c:v>56</c:v>
                </c:pt>
                <c:pt idx="105">
                  <c:v>57.5</c:v>
                </c:pt>
                <c:pt idx="106">
                  <c:v>59</c:v>
                </c:pt>
                <c:pt idx="107">
                  <c:v>60.5</c:v>
                </c:pt>
                <c:pt idx="108">
                  <c:v>62</c:v>
                </c:pt>
                <c:pt idx="109">
                  <c:v>63.5</c:v>
                </c:pt>
                <c:pt idx="110">
                  <c:v>65</c:v>
                </c:pt>
                <c:pt idx="111">
                  <c:v>66.5</c:v>
                </c:pt>
                <c:pt idx="112">
                  <c:v>68</c:v>
                </c:pt>
                <c:pt idx="113">
                  <c:v>69.5</c:v>
                </c:pt>
                <c:pt idx="114">
                  <c:v>71</c:v>
                </c:pt>
                <c:pt idx="115">
                  <c:v>72.5</c:v>
                </c:pt>
                <c:pt idx="116">
                  <c:v>74</c:v>
                </c:pt>
                <c:pt idx="117">
                  <c:v>75.5</c:v>
                </c:pt>
                <c:pt idx="118">
                  <c:v>77</c:v>
                </c:pt>
                <c:pt idx="119">
                  <c:v>78.5</c:v>
                </c:pt>
                <c:pt idx="120">
                  <c:v>80</c:v>
                </c:pt>
                <c:pt idx="121">
                  <c:v>81.5</c:v>
                </c:pt>
                <c:pt idx="122">
                  <c:v>83</c:v>
                </c:pt>
                <c:pt idx="123">
                  <c:v>84.5</c:v>
                </c:pt>
                <c:pt idx="124">
                  <c:v>86</c:v>
                </c:pt>
                <c:pt idx="125">
                  <c:v>87.5</c:v>
                </c:pt>
                <c:pt idx="126">
                  <c:v>89</c:v>
                </c:pt>
                <c:pt idx="127">
                  <c:v>90.5</c:v>
                </c:pt>
                <c:pt idx="128">
                  <c:v>92</c:v>
                </c:pt>
                <c:pt idx="129">
                  <c:v>93.5</c:v>
                </c:pt>
                <c:pt idx="130">
                  <c:v>95</c:v>
                </c:pt>
                <c:pt idx="131">
                  <c:v>96.5</c:v>
                </c:pt>
                <c:pt idx="132">
                  <c:v>98</c:v>
                </c:pt>
                <c:pt idx="133">
                  <c:v>99.5</c:v>
                </c:pt>
                <c:pt idx="134">
                  <c:v>101</c:v>
                </c:pt>
                <c:pt idx="135">
                  <c:v>102.5</c:v>
                </c:pt>
                <c:pt idx="136">
                  <c:v>104</c:v>
                </c:pt>
                <c:pt idx="137">
                  <c:v>105.5</c:v>
                </c:pt>
                <c:pt idx="138">
                  <c:v>107</c:v>
                </c:pt>
                <c:pt idx="139">
                  <c:v>108.5</c:v>
                </c:pt>
                <c:pt idx="140">
                  <c:v>110</c:v>
                </c:pt>
                <c:pt idx="141">
                  <c:v>111.5</c:v>
                </c:pt>
                <c:pt idx="142">
                  <c:v>113</c:v>
                </c:pt>
                <c:pt idx="143">
                  <c:v>114.5</c:v>
                </c:pt>
                <c:pt idx="144">
                  <c:v>116</c:v>
                </c:pt>
                <c:pt idx="145">
                  <c:v>117.5</c:v>
                </c:pt>
                <c:pt idx="146">
                  <c:v>119</c:v>
                </c:pt>
                <c:pt idx="147">
                  <c:v>120.5</c:v>
                </c:pt>
                <c:pt idx="148">
                  <c:v>122</c:v>
                </c:pt>
                <c:pt idx="149">
                  <c:v>123.5</c:v>
                </c:pt>
                <c:pt idx="150">
                  <c:v>125</c:v>
                </c:pt>
                <c:pt idx="151">
                  <c:v>126.5</c:v>
                </c:pt>
                <c:pt idx="152">
                  <c:v>128</c:v>
                </c:pt>
                <c:pt idx="153">
                  <c:v>129.5</c:v>
                </c:pt>
                <c:pt idx="154">
                  <c:v>131</c:v>
                </c:pt>
                <c:pt idx="155">
                  <c:v>132.5</c:v>
                </c:pt>
                <c:pt idx="156">
                  <c:v>134</c:v>
                </c:pt>
                <c:pt idx="157">
                  <c:v>135.5</c:v>
                </c:pt>
                <c:pt idx="158">
                  <c:v>137</c:v>
                </c:pt>
                <c:pt idx="159">
                  <c:v>138.5</c:v>
                </c:pt>
                <c:pt idx="160">
                  <c:v>140</c:v>
                </c:pt>
                <c:pt idx="161">
                  <c:v>141.5</c:v>
                </c:pt>
                <c:pt idx="162">
                  <c:v>143</c:v>
                </c:pt>
                <c:pt idx="163">
                  <c:v>144.5</c:v>
                </c:pt>
                <c:pt idx="164">
                  <c:v>146</c:v>
                </c:pt>
                <c:pt idx="165">
                  <c:v>147.5</c:v>
                </c:pt>
                <c:pt idx="166">
                  <c:v>149</c:v>
                </c:pt>
                <c:pt idx="167">
                  <c:v>150.5</c:v>
                </c:pt>
                <c:pt idx="168">
                  <c:v>152</c:v>
                </c:pt>
                <c:pt idx="169">
                  <c:v>153.5</c:v>
                </c:pt>
                <c:pt idx="170">
                  <c:v>155</c:v>
                </c:pt>
                <c:pt idx="171">
                  <c:v>156.5</c:v>
                </c:pt>
                <c:pt idx="172">
                  <c:v>158</c:v>
                </c:pt>
                <c:pt idx="173">
                  <c:v>159.5</c:v>
                </c:pt>
                <c:pt idx="174">
                  <c:v>161</c:v>
                </c:pt>
                <c:pt idx="175">
                  <c:v>162.5</c:v>
                </c:pt>
                <c:pt idx="176">
                  <c:v>164</c:v>
                </c:pt>
                <c:pt idx="177">
                  <c:v>165.5</c:v>
                </c:pt>
                <c:pt idx="178">
                  <c:v>167</c:v>
                </c:pt>
                <c:pt idx="179">
                  <c:v>168.5</c:v>
                </c:pt>
                <c:pt idx="180">
                  <c:v>170</c:v>
                </c:pt>
                <c:pt idx="181">
                  <c:v>171.5</c:v>
                </c:pt>
                <c:pt idx="182">
                  <c:v>173</c:v>
                </c:pt>
              </c:numCache>
            </c:numRef>
          </c:xVal>
          <c:yVal>
            <c:numRef>
              <c:f>'v50-Kurve'!$R$38:$R$220</c:f>
              <c:numCache>
                <c:formatCode>0.0000000000E+00</c:formatCode>
                <c:ptCount val="18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Cache>
            </c:numRef>
          </c:yVal>
          <c:smooth val="1"/>
          <c:extLst>
            <c:ext xmlns:c16="http://schemas.microsoft.com/office/drawing/2014/chart" uri="{C3380CC4-5D6E-409C-BE32-E72D297353CC}">
              <c16:uniqueId val="{00000001-0BFE-42BF-A35D-1F8EAC2896CB}"/>
            </c:ext>
          </c:extLst>
        </c:ser>
        <c:ser>
          <c:idx val="3"/>
          <c:order val="2"/>
          <c:tx>
            <c:v>50%</c:v>
          </c:tx>
          <c:spPr>
            <a:ln w="12700">
              <a:solidFill>
                <a:schemeClr val="tx1"/>
              </a:solidFill>
            </a:ln>
          </c:spPr>
          <c:marker>
            <c:symbol val="none"/>
          </c:marker>
          <c:xVal>
            <c:numRef>
              <c:f>'v50-Kurve'!$U$9:$U$10</c:f>
              <c:numCache>
                <c:formatCode>0.0</c:formatCode>
                <c:ptCount val="2"/>
                <c:pt idx="0" formatCode="General">
                  <c:v>0</c:v>
                </c:pt>
                <c:pt idx="1">
                  <c:v>0</c:v>
                </c:pt>
              </c:numCache>
            </c:numRef>
          </c:xVal>
          <c:yVal>
            <c:numRef>
              <c:f>'v50-Kurve'!$V$9:$V$10</c:f>
              <c:numCache>
                <c:formatCode>General</c:formatCode>
                <c:ptCount val="2"/>
                <c:pt idx="0">
                  <c:v>0.5</c:v>
                </c:pt>
                <c:pt idx="1">
                  <c:v>0.5</c:v>
                </c:pt>
              </c:numCache>
            </c:numRef>
          </c:yVal>
          <c:smooth val="1"/>
          <c:extLst>
            <c:ext xmlns:c16="http://schemas.microsoft.com/office/drawing/2014/chart" uri="{C3380CC4-5D6E-409C-BE32-E72D297353CC}">
              <c16:uniqueId val="{00000002-0BFE-42BF-A35D-1F8EAC2896CB}"/>
            </c:ext>
          </c:extLst>
        </c:ser>
        <c:ser>
          <c:idx val="2"/>
          <c:order val="3"/>
          <c:tx>
            <c:v>V50</c:v>
          </c:tx>
          <c:spPr>
            <a:ln w="12700">
              <a:solidFill>
                <a:schemeClr val="tx1"/>
              </a:solidFill>
              <a:prstDash val="sysDot"/>
            </a:ln>
          </c:spPr>
          <c:marker>
            <c:symbol val="none"/>
          </c:marker>
          <c:xVal>
            <c:numRef>
              <c:f>'v50-Kurve'!$U$7:$U$8</c:f>
              <c:numCache>
                <c:formatCode>0.0</c:formatCode>
                <c:ptCount val="2"/>
                <c:pt idx="0">
                  <c:v>0</c:v>
                </c:pt>
                <c:pt idx="1">
                  <c:v>0</c:v>
                </c:pt>
              </c:numCache>
            </c:numRef>
          </c:xVal>
          <c:yVal>
            <c:numRef>
              <c:f>'v50-Kurve'!$V$7:$V$8</c:f>
              <c:numCache>
                <c:formatCode>General</c:formatCode>
                <c:ptCount val="2"/>
                <c:pt idx="0">
                  <c:v>0</c:v>
                </c:pt>
                <c:pt idx="1">
                  <c:v>0.5</c:v>
                </c:pt>
              </c:numCache>
            </c:numRef>
          </c:yVal>
          <c:smooth val="1"/>
          <c:extLst>
            <c:ext xmlns:c16="http://schemas.microsoft.com/office/drawing/2014/chart" uri="{C3380CC4-5D6E-409C-BE32-E72D297353CC}">
              <c16:uniqueId val="{00000003-0BFE-42BF-A35D-1F8EAC2896CB}"/>
            </c:ext>
          </c:extLst>
        </c:ser>
        <c:dLbls>
          <c:showLegendKey val="0"/>
          <c:showVal val="0"/>
          <c:showCatName val="0"/>
          <c:showSerName val="0"/>
          <c:showPercent val="0"/>
          <c:showBubbleSize val="0"/>
        </c:dLbls>
        <c:axId val="1249320128"/>
        <c:axId val="1"/>
      </c:scatterChart>
      <c:valAx>
        <c:axId val="1249320128"/>
        <c:scaling>
          <c:orientation val="minMax"/>
          <c:max val="1000"/>
          <c:min val="0"/>
        </c:scaling>
        <c:delete val="0"/>
        <c:axPos val="b"/>
        <c:title>
          <c:tx>
            <c:rich>
              <a:bodyPr/>
              <a:lstStyle/>
              <a:p>
                <a:pPr>
                  <a:defRPr sz="1200"/>
                </a:pPr>
                <a:r>
                  <a:rPr lang="de-AT" sz="1200"/>
                  <a:t>Angriffsgeschwindigkeit     [m/s]</a:t>
                </a:r>
              </a:p>
            </c:rich>
          </c:tx>
          <c:overlay val="0"/>
        </c:title>
        <c:numFmt formatCode="0.0"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de-DE"/>
          </a:p>
        </c:txPr>
        <c:crossAx val="1"/>
        <c:crosses val="autoZero"/>
        <c:crossBetween val="midCat"/>
      </c:valAx>
      <c:valAx>
        <c:axId val="1"/>
        <c:scaling>
          <c:orientation val="minMax"/>
          <c:max val="1"/>
          <c:min val="0"/>
        </c:scaling>
        <c:delete val="0"/>
        <c:axPos val="l"/>
        <c:title>
          <c:tx>
            <c:rich>
              <a:bodyPr/>
              <a:lstStyle/>
              <a:p>
                <a:pPr>
                  <a:defRPr sz="1200"/>
                </a:pPr>
                <a:r>
                  <a:rPr lang="de-AT" sz="1200"/>
                  <a:t>Durchschusswahrscheindlichkeit       [-]</a:t>
                </a:r>
              </a:p>
            </c:rich>
          </c:tx>
          <c:overlay val="0"/>
        </c:title>
        <c:numFmt formatCode="0.0" sourceLinked="0"/>
        <c:majorTickMark val="none"/>
        <c:minorTickMark val="none"/>
        <c:tickLblPos val="nextTo"/>
        <c:txPr>
          <a:bodyPr/>
          <a:lstStyle/>
          <a:p>
            <a:pPr>
              <a:defRPr sz="1200"/>
            </a:pPr>
            <a:endParaRPr lang="de-DE"/>
          </a:p>
        </c:txPr>
        <c:crossAx val="1249320128"/>
        <c:crosses val="autoZero"/>
        <c:crossBetween val="midCat"/>
        <c:majorUnit val="0.1"/>
      </c:valAx>
      <c:spPr>
        <a:ln w="12700">
          <a:solidFill>
            <a:schemeClr val="tx1"/>
          </a:solidFill>
        </a:ln>
        <a:effectLst>
          <a:softEdge rad="0"/>
        </a:effectLst>
      </c:spPr>
    </c:plotArea>
    <c:legend>
      <c:legendPos val="r"/>
      <c:layout>
        <c:manualLayout>
          <c:xMode val="edge"/>
          <c:yMode val="edge"/>
          <c:x val="0.10197204029440531"/>
          <c:y val="0.11256257862023261"/>
          <c:w val="0.27435028459922317"/>
          <c:h val="0.21710222033056681"/>
        </c:manualLayout>
      </c:layout>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xml"/><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24848</xdr:colOff>
      <xdr:row>0</xdr:row>
      <xdr:rowOff>74543</xdr:rowOff>
    </xdr:from>
    <xdr:to>
      <xdr:col>18</xdr:col>
      <xdr:colOff>8282</xdr:colOff>
      <xdr:row>6</xdr:row>
      <xdr:rowOff>91283</xdr:rowOff>
    </xdr:to>
    <xdr:pic>
      <xdr:nvPicPr>
        <xdr:cNvPr id="4" name="Grafik 3">
          <a:extLst>
            <a:ext uri="{FF2B5EF4-FFF2-40B4-BE49-F238E27FC236}">
              <a16:creationId xmlns:a16="http://schemas.microsoft.com/office/drawing/2014/main" id="{15F5EB5A-9A9C-45D1-A8C2-6D5859FD3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6652" y="74543"/>
          <a:ext cx="4232413" cy="762175"/>
        </a:xfrm>
        <a:prstGeom prst="rect">
          <a:avLst/>
        </a:prstGeom>
      </xdr:spPr>
    </xdr:pic>
    <xdr:clientData/>
  </xdr:twoCellAnchor>
  <xdr:twoCellAnchor>
    <xdr:from>
      <xdr:col>1</xdr:col>
      <xdr:colOff>327</xdr:colOff>
      <xdr:row>13</xdr:row>
      <xdr:rowOff>68671</xdr:rowOff>
    </xdr:from>
    <xdr:to>
      <xdr:col>8</xdr:col>
      <xdr:colOff>0</xdr:colOff>
      <xdr:row>14</xdr:row>
      <xdr:rowOff>102577</xdr:rowOff>
    </xdr:to>
    <xdr:sp macro="" textlink="">
      <xdr:nvSpPr>
        <xdr:cNvPr id="7" name="Textfeld 6">
          <a:extLst>
            <a:ext uri="{FF2B5EF4-FFF2-40B4-BE49-F238E27FC236}">
              <a16:creationId xmlns:a16="http://schemas.microsoft.com/office/drawing/2014/main" id="{FD8A7C95-A0C6-4279-8EC7-F0345FD5B14F}"/>
            </a:ext>
          </a:extLst>
        </xdr:cNvPr>
        <xdr:cNvSpPr txBox="1"/>
      </xdr:nvSpPr>
      <xdr:spPr>
        <a:xfrm>
          <a:off x="623115" y="1841786"/>
          <a:ext cx="4535039" cy="195099"/>
        </a:xfrm>
        <a:prstGeom prst="rect">
          <a:avLst/>
        </a:prstGeom>
        <a:solidFill>
          <a:schemeClr val="lt1"/>
        </a:solidFill>
        <a:ln w="762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AT" sz="1100" b="1"/>
            <a:t>Nur die hellgrauen Felder sind änderbar!</a:t>
          </a:r>
        </a:p>
      </xdr:txBody>
    </xdr:sp>
    <xdr:clientData/>
  </xdr:twoCellAnchor>
  <xdr:oneCellAnchor>
    <xdr:from>
      <xdr:col>21</xdr:col>
      <xdr:colOff>24848</xdr:colOff>
      <xdr:row>0</xdr:row>
      <xdr:rowOff>74543</xdr:rowOff>
    </xdr:from>
    <xdr:ext cx="4232413" cy="762175"/>
    <xdr:pic>
      <xdr:nvPicPr>
        <xdr:cNvPr id="10" name="Grafik 9">
          <a:extLst>
            <a:ext uri="{FF2B5EF4-FFF2-40B4-BE49-F238E27FC236}">
              <a16:creationId xmlns:a16="http://schemas.microsoft.com/office/drawing/2014/main" id="{97D93EC4-24DC-4618-91D7-333D52C856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56174" y="74543"/>
          <a:ext cx="4232413" cy="762175"/>
        </a:xfrm>
        <a:prstGeom prst="rect">
          <a:avLst/>
        </a:prstGeom>
      </xdr:spPr>
    </xdr:pic>
    <xdr:clientData/>
  </xdr:oneCellAnchor>
  <xdr:twoCellAnchor editAs="oneCell">
    <xdr:from>
      <xdr:col>1</xdr:col>
      <xdr:colOff>142875</xdr:colOff>
      <xdr:row>0</xdr:row>
      <xdr:rowOff>95250</xdr:rowOff>
    </xdr:from>
    <xdr:to>
      <xdr:col>7</xdr:col>
      <xdr:colOff>707335</xdr:colOff>
      <xdr:row>6</xdr:row>
      <xdr:rowOff>111990</xdr:rowOff>
    </xdr:to>
    <xdr:pic>
      <xdr:nvPicPr>
        <xdr:cNvPr id="6" name="Grafik 5">
          <a:extLst>
            <a:ext uri="{FF2B5EF4-FFF2-40B4-BE49-F238E27FC236}">
              <a16:creationId xmlns:a16="http://schemas.microsoft.com/office/drawing/2014/main" id="{4F82A5FF-20C0-4AD1-A8A6-7CA125E414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95250"/>
          <a:ext cx="4241110" cy="750165"/>
        </a:xfrm>
        <a:prstGeom prst="rect">
          <a:avLst/>
        </a:prstGeom>
      </xdr:spPr>
    </xdr:pic>
    <xdr:clientData/>
  </xdr:twoCellAnchor>
  <xdr:oneCellAnchor>
    <xdr:from>
      <xdr:col>1</xdr:col>
      <xdr:colOff>142875</xdr:colOff>
      <xdr:row>62</xdr:row>
      <xdr:rowOff>95250</xdr:rowOff>
    </xdr:from>
    <xdr:ext cx="4247460" cy="757573"/>
    <xdr:pic>
      <xdr:nvPicPr>
        <xdr:cNvPr id="9" name="Grafik 8">
          <a:extLst>
            <a:ext uri="{FF2B5EF4-FFF2-40B4-BE49-F238E27FC236}">
              <a16:creationId xmlns:a16="http://schemas.microsoft.com/office/drawing/2014/main" id="{7E45F534-50D2-4011-BB85-A7659BEFCD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7292" y="95250"/>
          <a:ext cx="4247460" cy="75757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116634</xdr:colOff>
      <xdr:row>44</xdr:row>
      <xdr:rowOff>117139</xdr:rowOff>
    </xdr:from>
    <xdr:to>
      <xdr:col>5</xdr:col>
      <xdr:colOff>505408</xdr:colOff>
      <xdr:row>56</xdr:row>
      <xdr:rowOff>94956</xdr:rowOff>
    </xdr:to>
    <xdr:pic>
      <xdr:nvPicPr>
        <xdr:cNvPr id="4" name="Grafik 3">
          <a:extLst>
            <a:ext uri="{FF2B5EF4-FFF2-40B4-BE49-F238E27FC236}">
              <a16:creationId xmlns:a16="http://schemas.microsoft.com/office/drawing/2014/main" id="{358A1A8B-9011-4287-99FA-B43C4475AE8D}"/>
            </a:ext>
          </a:extLst>
        </xdr:cNvPr>
        <xdr:cNvPicPr>
          <a:picLocks noChangeAspect="1"/>
        </xdr:cNvPicPr>
      </xdr:nvPicPr>
      <xdr:blipFill>
        <a:blip xmlns:r="http://schemas.openxmlformats.org/officeDocument/2006/relationships" r:embed="rId1"/>
        <a:stretch>
          <a:fillRect/>
        </a:stretch>
      </xdr:blipFill>
      <xdr:spPr>
        <a:xfrm>
          <a:off x="116634" y="7426119"/>
          <a:ext cx="4227932" cy="1960572"/>
        </a:xfrm>
        <a:prstGeom prst="rect">
          <a:avLst/>
        </a:prstGeom>
      </xdr:spPr>
    </xdr:pic>
    <xdr:clientData/>
  </xdr:twoCellAnchor>
  <xdr:twoCellAnchor>
    <xdr:from>
      <xdr:col>0</xdr:col>
      <xdr:colOff>173944</xdr:colOff>
      <xdr:row>0</xdr:row>
      <xdr:rowOff>103532</xdr:rowOff>
    </xdr:from>
    <xdr:to>
      <xdr:col>10</xdr:col>
      <xdr:colOff>452550</xdr:colOff>
      <xdr:row>34</xdr:row>
      <xdr:rowOff>134938</xdr:rowOff>
    </xdr:to>
    <xdr:graphicFrame macro="">
      <xdr:nvGraphicFramePr>
        <xdr:cNvPr id="2" name="Diagramm 1">
          <a:extLst>
            <a:ext uri="{FF2B5EF4-FFF2-40B4-BE49-F238E27FC236}">
              <a16:creationId xmlns:a16="http://schemas.microsoft.com/office/drawing/2014/main" id="{FAA6C313-8887-4E25-877E-24FBD44EB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15</xdr:col>
      <xdr:colOff>323117</xdr:colOff>
      <xdr:row>4</xdr:row>
      <xdr:rowOff>31139</xdr:rowOff>
    </xdr:from>
    <xdr:ext cx="112723" cy="172227"/>
    <mc:AlternateContent xmlns:mc="http://schemas.openxmlformats.org/markup-compatibility/2006" xmlns:a14="http://schemas.microsoft.com/office/drawing/2010/main">
      <mc:Choice Requires="a14">
        <xdr:sp macro="" textlink="">
          <xdr:nvSpPr>
            <xdr:cNvPr id="6" name="Textfeld 5">
              <a:extLst>
                <a:ext uri="{FF2B5EF4-FFF2-40B4-BE49-F238E27FC236}">
                  <a16:creationId xmlns:a16="http://schemas.microsoft.com/office/drawing/2014/main" id="{FA60CFB4-760C-45E1-A7E5-97557CCFB2BA}"/>
                </a:ext>
              </a:extLst>
            </xdr:cNvPr>
            <xdr:cNvSpPr txBox="1"/>
          </xdr:nvSpPr>
          <xdr:spPr>
            <a:xfrm>
              <a:off x="2637692" y="564539"/>
              <a:ext cx="1127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de-DE" sz="1100" b="0" i="1">
                            <a:solidFill>
                              <a:schemeClr val="bg1">
                                <a:lumMod val="65000"/>
                              </a:schemeClr>
                            </a:solidFill>
                            <a:latin typeface="Cambria Math" panose="02040503050406030204" pitchFamily="18" charset="0"/>
                          </a:rPr>
                        </m:ctrlPr>
                      </m:accPr>
                      <m:e>
                        <m:r>
                          <a:rPr lang="de-DE" sz="1100" b="0" i="1">
                            <a:solidFill>
                              <a:schemeClr val="bg1">
                                <a:lumMod val="65000"/>
                              </a:schemeClr>
                            </a:solidFill>
                            <a:latin typeface="Cambria Math" panose="02040503050406030204" pitchFamily="18" charset="0"/>
                          </a:rPr>
                          <m:t>𝑣</m:t>
                        </m:r>
                      </m:e>
                    </m:acc>
                  </m:oMath>
                </m:oMathPara>
              </a14:m>
              <a:endParaRPr lang="de-AT" sz="1100"/>
            </a:p>
          </xdr:txBody>
        </xdr:sp>
      </mc:Choice>
      <mc:Fallback xmlns="">
        <xdr:sp macro="" textlink="">
          <xdr:nvSpPr>
            <xdr:cNvPr id="6" name="Textfeld 5">
              <a:extLst>
                <a:ext uri="{FF2B5EF4-FFF2-40B4-BE49-F238E27FC236}">
                  <a16:creationId xmlns:a16="http://schemas.microsoft.com/office/drawing/2014/main" id="{FA60CFB4-760C-45E1-A7E5-97557CCFB2BA}"/>
                </a:ext>
              </a:extLst>
            </xdr:cNvPr>
            <xdr:cNvSpPr txBox="1"/>
          </xdr:nvSpPr>
          <xdr:spPr>
            <a:xfrm>
              <a:off x="2637692" y="564539"/>
              <a:ext cx="1127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solidFill>
                    <a:schemeClr val="bg1">
                      <a:lumMod val="65000"/>
                    </a:schemeClr>
                  </a:solidFill>
                  <a:latin typeface="Cambria Math" panose="02040503050406030204" pitchFamily="18" charset="0"/>
                </a:rPr>
                <a:t>𝑣 ̅</a:t>
              </a:r>
              <a:endParaRPr lang="de-AT" sz="1100"/>
            </a:p>
          </xdr:txBody>
        </xdr:sp>
      </mc:Fallback>
    </mc:AlternateContent>
    <xdr:clientData/>
  </xdr:oneCellAnchor>
  <xdr:oneCellAnchor>
    <xdr:from>
      <xdr:col>13</xdr:col>
      <xdr:colOff>315791</xdr:colOff>
      <xdr:row>4</xdr:row>
      <xdr:rowOff>4396</xdr:rowOff>
    </xdr:from>
    <xdr:ext cx="174791" cy="172227"/>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1FB61B5A-D8E3-4F61-8A94-56A35B2CAF83}"/>
                </a:ext>
              </a:extLst>
            </xdr:cNvPr>
            <xdr:cNvSpPr txBox="1"/>
          </xdr:nvSpPr>
          <xdr:spPr>
            <a:xfrm>
              <a:off x="10317041" y="539261"/>
              <a:ext cx="1747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AT" sz="1100" i="1">
                            <a:solidFill>
                              <a:schemeClr val="bg1">
                                <a:lumMod val="65000"/>
                              </a:schemeClr>
                            </a:solidFill>
                            <a:latin typeface="Cambria Math" panose="02040503050406030204" pitchFamily="18" charset="0"/>
                          </a:rPr>
                        </m:ctrlPr>
                      </m:sSubPr>
                      <m:e>
                        <m:r>
                          <a:rPr lang="de-DE" sz="1100" b="0" i="1">
                            <a:solidFill>
                              <a:schemeClr val="bg1">
                                <a:lumMod val="65000"/>
                              </a:schemeClr>
                            </a:solidFill>
                            <a:latin typeface="Cambria Math" panose="02040503050406030204" pitchFamily="18" charset="0"/>
                          </a:rPr>
                          <m:t>𝑣</m:t>
                        </m:r>
                      </m:e>
                      <m:sub>
                        <m:r>
                          <a:rPr lang="de-DE" sz="1100" b="0" i="1">
                            <a:solidFill>
                              <a:schemeClr val="bg1">
                                <a:lumMod val="65000"/>
                              </a:schemeClr>
                            </a:solidFill>
                            <a:latin typeface="Cambria Math" panose="02040503050406030204" pitchFamily="18" charset="0"/>
                          </a:rPr>
                          <m:t>𝑢</m:t>
                        </m:r>
                      </m:sub>
                    </m:sSub>
                  </m:oMath>
                </m:oMathPara>
              </a14:m>
              <a:endParaRPr lang="de-AT" sz="1100"/>
            </a:p>
          </xdr:txBody>
        </xdr:sp>
      </mc:Choice>
      <mc:Fallback xmlns="">
        <xdr:sp macro="" textlink="">
          <xdr:nvSpPr>
            <xdr:cNvPr id="7" name="Textfeld 6">
              <a:extLst>
                <a:ext uri="{FF2B5EF4-FFF2-40B4-BE49-F238E27FC236}">
                  <a16:creationId xmlns:a16="http://schemas.microsoft.com/office/drawing/2014/main" id="{1FB61B5A-D8E3-4F61-8A94-56A35B2CAF83}"/>
                </a:ext>
              </a:extLst>
            </xdr:cNvPr>
            <xdr:cNvSpPr txBox="1"/>
          </xdr:nvSpPr>
          <xdr:spPr>
            <a:xfrm>
              <a:off x="10317041" y="539261"/>
              <a:ext cx="1747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solidFill>
                    <a:schemeClr val="bg1">
                      <a:lumMod val="65000"/>
                    </a:schemeClr>
                  </a:solidFill>
                  <a:latin typeface="Cambria Math" panose="02040503050406030204" pitchFamily="18" charset="0"/>
                </a:rPr>
                <a:t>𝑣</a:t>
              </a:r>
              <a:r>
                <a:rPr lang="de-AT" sz="1100" b="0" i="0">
                  <a:solidFill>
                    <a:schemeClr val="bg1">
                      <a:lumMod val="65000"/>
                    </a:schemeClr>
                  </a:solidFill>
                  <a:latin typeface="Cambria Math" panose="02040503050406030204" pitchFamily="18" charset="0"/>
                </a:rPr>
                <a:t>_</a:t>
              </a:r>
              <a:r>
                <a:rPr lang="de-DE" sz="1100" b="0" i="0">
                  <a:solidFill>
                    <a:schemeClr val="bg1">
                      <a:lumMod val="65000"/>
                    </a:schemeClr>
                  </a:solidFill>
                  <a:latin typeface="Cambria Math" panose="02040503050406030204" pitchFamily="18" charset="0"/>
                </a:rPr>
                <a:t>𝑢</a:t>
              </a:r>
              <a:endParaRPr lang="de-AT" sz="1100"/>
            </a:p>
          </xdr:txBody>
        </xdr:sp>
      </mc:Fallback>
    </mc:AlternateContent>
    <xdr:clientData/>
  </xdr:oneCellAnchor>
  <xdr:oneCellAnchor>
    <xdr:from>
      <xdr:col>14</xdr:col>
      <xdr:colOff>329711</xdr:colOff>
      <xdr:row>4</xdr:row>
      <xdr:rowOff>7327</xdr:rowOff>
    </xdr:from>
    <xdr:ext cx="208870" cy="218892"/>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37D996FE-754A-42E9-987A-E25C30F5B84E}"/>
                </a:ext>
              </a:extLst>
            </xdr:cNvPr>
            <xdr:cNvSpPr txBox="1"/>
          </xdr:nvSpPr>
          <xdr:spPr>
            <a:xfrm>
              <a:off x="1877524" y="537155"/>
              <a:ext cx="208870" cy="218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AT" sz="1100" i="1">
                            <a:solidFill>
                              <a:schemeClr val="bg1">
                                <a:lumMod val="65000"/>
                              </a:schemeClr>
                            </a:solidFill>
                            <a:latin typeface="Cambria Math" panose="02040503050406030204" pitchFamily="18" charset="0"/>
                          </a:rPr>
                        </m:ctrlPr>
                      </m:sSubPr>
                      <m:e>
                        <m:r>
                          <a:rPr lang="de-DE" sz="1100" b="0" i="1">
                            <a:solidFill>
                              <a:schemeClr val="bg1">
                                <a:lumMod val="65000"/>
                              </a:schemeClr>
                            </a:solidFill>
                            <a:latin typeface="Cambria Math" panose="02040503050406030204" pitchFamily="18" charset="0"/>
                          </a:rPr>
                          <m:t>𝑣</m:t>
                        </m:r>
                      </m:e>
                      <m:sub>
                        <m:r>
                          <a:rPr lang="de-DE" sz="1100" b="0" i="1">
                            <a:solidFill>
                              <a:schemeClr val="bg1">
                                <a:lumMod val="65000"/>
                              </a:schemeClr>
                            </a:solidFill>
                            <a:latin typeface="Cambria Math" panose="02040503050406030204" pitchFamily="18" charset="0"/>
                          </a:rPr>
                          <m:t>𝑜</m:t>
                        </m:r>
                      </m:sub>
                    </m:sSub>
                  </m:oMath>
                </m:oMathPara>
              </a14:m>
              <a:endParaRPr lang="de-AT" sz="1100"/>
            </a:p>
          </xdr:txBody>
        </xdr:sp>
      </mc:Choice>
      <mc:Fallback xmlns="">
        <xdr:sp macro="" textlink="">
          <xdr:nvSpPr>
            <xdr:cNvPr id="8" name="Textfeld 7">
              <a:extLst>
                <a:ext uri="{FF2B5EF4-FFF2-40B4-BE49-F238E27FC236}">
                  <a16:creationId xmlns:a16="http://schemas.microsoft.com/office/drawing/2014/main" id="{37D996FE-754A-42E9-987A-E25C30F5B84E}"/>
                </a:ext>
              </a:extLst>
            </xdr:cNvPr>
            <xdr:cNvSpPr txBox="1"/>
          </xdr:nvSpPr>
          <xdr:spPr>
            <a:xfrm>
              <a:off x="1877524" y="537155"/>
              <a:ext cx="208870" cy="218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DE" sz="1100" b="0" i="0">
                  <a:solidFill>
                    <a:schemeClr val="bg1">
                      <a:lumMod val="65000"/>
                    </a:schemeClr>
                  </a:solidFill>
                  <a:latin typeface="Cambria Math" panose="02040503050406030204" pitchFamily="18" charset="0"/>
                </a:rPr>
                <a:t>𝑣</a:t>
              </a:r>
              <a:r>
                <a:rPr lang="de-AT" sz="1100" b="0" i="0">
                  <a:solidFill>
                    <a:schemeClr val="bg1">
                      <a:lumMod val="65000"/>
                    </a:schemeClr>
                  </a:solidFill>
                  <a:latin typeface="Cambria Math" panose="02040503050406030204" pitchFamily="18" charset="0"/>
                </a:rPr>
                <a:t>_</a:t>
              </a:r>
              <a:r>
                <a:rPr lang="de-DE" sz="1100" b="0" i="0">
                  <a:solidFill>
                    <a:schemeClr val="bg1">
                      <a:lumMod val="65000"/>
                    </a:schemeClr>
                  </a:solidFill>
                  <a:latin typeface="Cambria Math" panose="02040503050406030204" pitchFamily="18" charset="0"/>
                </a:rPr>
                <a:t>𝑜</a:t>
              </a:r>
              <a:endParaRPr lang="de-AT" sz="1100"/>
            </a:p>
          </xdr:txBody>
        </xdr:sp>
      </mc:Fallback>
    </mc:AlternateContent>
    <xdr:clientData/>
  </xdr:oneCellAnchor>
  <xdr:oneCellAnchor>
    <xdr:from>
      <xdr:col>16</xdr:col>
      <xdr:colOff>300404</xdr:colOff>
      <xdr:row>4</xdr:row>
      <xdr:rowOff>0</xdr:rowOff>
    </xdr:from>
    <xdr:ext cx="202727" cy="196453"/>
    <mc:AlternateContent xmlns:mc="http://schemas.openxmlformats.org/markup-compatibility/2006" xmlns:a14="http://schemas.microsoft.com/office/drawing/2010/main">
      <mc:Choice Requires="a14">
        <xdr:sp macro="" textlink="">
          <xdr:nvSpPr>
            <xdr:cNvPr id="9" name="Textfeld 8">
              <a:extLst>
                <a:ext uri="{FF2B5EF4-FFF2-40B4-BE49-F238E27FC236}">
                  <a16:creationId xmlns:a16="http://schemas.microsoft.com/office/drawing/2014/main" id="{BC62CBFB-870C-4A4C-8289-D2D701AEAD0B}"/>
                </a:ext>
              </a:extLst>
            </xdr:cNvPr>
            <xdr:cNvSpPr txBox="1"/>
          </xdr:nvSpPr>
          <xdr:spPr>
            <a:xfrm>
              <a:off x="3396029" y="529828"/>
              <a:ext cx="202727" cy="196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AT" sz="1100" i="1">
                            <a:solidFill>
                              <a:schemeClr val="bg1">
                                <a:lumMod val="65000"/>
                              </a:schemeClr>
                            </a:solidFill>
                            <a:latin typeface="Cambria Math" panose="02040503050406030204" pitchFamily="18" charset="0"/>
                          </a:rPr>
                        </m:ctrlPr>
                      </m:sSubPr>
                      <m:e>
                        <m:r>
                          <a:rPr lang="de-DE" sz="1100" b="0" i="1">
                            <a:solidFill>
                              <a:schemeClr val="bg1">
                                <a:lumMod val="65000"/>
                              </a:schemeClr>
                            </a:solidFill>
                            <a:latin typeface="Cambria Math" panose="02040503050406030204" pitchFamily="18" charset="0"/>
                          </a:rPr>
                          <m:t>𝐹</m:t>
                        </m:r>
                      </m:e>
                      <m:sub>
                        <m:r>
                          <a:rPr lang="de-DE" sz="1100" b="0" i="1">
                            <a:solidFill>
                              <a:schemeClr val="bg1">
                                <a:lumMod val="65000"/>
                              </a:schemeClr>
                            </a:solidFill>
                            <a:latin typeface="Cambria Math" panose="02040503050406030204" pitchFamily="18" charset="0"/>
                          </a:rPr>
                          <m:t>𝑘</m:t>
                        </m:r>
                      </m:sub>
                    </m:sSub>
                  </m:oMath>
                </m:oMathPara>
              </a14:m>
              <a:endParaRPr lang="de-AT" sz="1100"/>
            </a:p>
          </xdr:txBody>
        </xdr:sp>
      </mc:Choice>
      <mc:Fallback xmlns="">
        <xdr:sp macro="" textlink="">
          <xdr:nvSpPr>
            <xdr:cNvPr id="9" name="Textfeld 8">
              <a:extLst>
                <a:ext uri="{FF2B5EF4-FFF2-40B4-BE49-F238E27FC236}">
                  <a16:creationId xmlns:a16="http://schemas.microsoft.com/office/drawing/2014/main" id="{BC62CBFB-870C-4A4C-8289-D2D701AEAD0B}"/>
                </a:ext>
              </a:extLst>
            </xdr:cNvPr>
            <xdr:cNvSpPr txBox="1"/>
          </xdr:nvSpPr>
          <xdr:spPr>
            <a:xfrm>
              <a:off x="3396029" y="529828"/>
              <a:ext cx="202727" cy="196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DE" sz="1100" b="0" i="0">
                  <a:solidFill>
                    <a:schemeClr val="bg1">
                      <a:lumMod val="65000"/>
                    </a:schemeClr>
                  </a:solidFill>
                  <a:latin typeface="Cambria Math" panose="02040503050406030204" pitchFamily="18" charset="0"/>
                </a:rPr>
                <a:t>𝐹</a:t>
              </a:r>
              <a:r>
                <a:rPr lang="de-AT" sz="1100" b="0" i="0">
                  <a:solidFill>
                    <a:schemeClr val="bg1">
                      <a:lumMod val="65000"/>
                    </a:schemeClr>
                  </a:solidFill>
                  <a:latin typeface="Cambria Math" panose="02040503050406030204" pitchFamily="18" charset="0"/>
                </a:rPr>
                <a:t>_</a:t>
              </a:r>
              <a:r>
                <a:rPr lang="de-DE" sz="1100" b="0" i="0">
                  <a:solidFill>
                    <a:schemeClr val="bg1">
                      <a:lumMod val="65000"/>
                    </a:schemeClr>
                  </a:solidFill>
                  <a:latin typeface="Cambria Math" panose="02040503050406030204" pitchFamily="18" charset="0"/>
                </a:rPr>
                <a:t>𝑘</a:t>
              </a:r>
              <a:endParaRPr lang="de-AT" sz="1100"/>
            </a:p>
          </xdr:txBody>
        </xdr:sp>
      </mc:Fallback>
    </mc:AlternateContent>
    <xdr:clientData/>
  </xdr:oneCellAnchor>
  <xdr:oneCellAnchor>
    <xdr:from>
      <xdr:col>13</xdr:col>
      <xdr:colOff>291704</xdr:colOff>
      <xdr:row>0</xdr:row>
      <xdr:rowOff>160734</xdr:rowOff>
    </xdr:from>
    <xdr:ext cx="290304" cy="250032"/>
    <mc:AlternateContent xmlns:mc="http://schemas.openxmlformats.org/markup-compatibility/2006" xmlns:a14="http://schemas.microsoft.com/office/drawing/2010/main">
      <mc:Choice Requires="a14">
        <xdr:sp macro="" textlink="">
          <xdr:nvSpPr>
            <xdr:cNvPr id="11" name="Textfeld 10">
              <a:extLst>
                <a:ext uri="{FF2B5EF4-FFF2-40B4-BE49-F238E27FC236}">
                  <a16:creationId xmlns:a16="http://schemas.microsoft.com/office/drawing/2014/main" id="{3C7646F8-B260-4FB7-A627-AEE8E93ED26C}"/>
                </a:ext>
              </a:extLst>
            </xdr:cNvPr>
            <xdr:cNvSpPr txBox="1"/>
          </xdr:nvSpPr>
          <xdr:spPr>
            <a:xfrm>
              <a:off x="1065610" y="160734"/>
              <a:ext cx="290304" cy="250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AT" sz="1100" i="1">
                            <a:solidFill>
                              <a:schemeClr val="bg1">
                                <a:lumMod val="65000"/>
                              </a:schemeClr>
                            </a:solidFill>
                            <a:latin typeface="Cambria Math" panose="02040503050406030204" pitchFamily="18" charset="0"/>
                          </a:rPr>
                        </m:ctrlPr>
                      </m:sSubPr>
                      <m:e>
                        <m:r>
                          <a:rPr lang="de-DE" sz="1100" b="0" i="1">
                            <a:solidFill>
                              <a:schemeClr val="bg1">
                                <a:lumMod val="65000"/>
                              </a:schemeClr>
                            </a:solidFill>
                            <a:latin typeface="Cambria Math" panose="02040503050406030204" pitchFamily="18" charset="0"/>
                          </a:rPr>
                          <m:t>𝑣</m:t>
                        </m:r>
                      </m:e>
                      <m:sub>
                        <m:r>
                          <a:rPr lang="de-DE" sz="1100" b="0" i="1">
                            <a:solidFill>
                              <a:schemeClr val="bg1">
                                <a:lumMod val="65000"/>
                              </a:schemeClr>
                            </a:solidFill>
                            <a:latin typeface="Cambria Math" panose="02040503050406030204" pitchFamily="18" charset="0"/>
                          </a:rPr>
                          <m:t>50</m:t>
                        </m:r>
                      </m:sub>
                    </m:sSub>
                  </m:oMath>
                </m:oMathPara>
              </a14:m>
              <a:endParaRPr lang="de-AT" sz="1100"/>
            </a:p>
          </xdr:txBody>
        </xdr:sp>
      </mc:Choice>
      <mc:Fallback xmlns="">
        <xdr:sp macro="" textlink="">
          <xdr:nvSpPr>
            <xdr:cNvPr id="11" name="Textfeld 10">
              <a:extLst>
                <a:ext uri="{FF2B5EF4-FFF2-40B4-BE49-F238E27FC236}">
                  <a16:creationId xmlns:a16="http://schemas.microsoft.com/office/drawing/2014/main" id="{3C7646F8-B260-4FB7-A627-AEE8E93ED26C}"/>
                </a:ext>
              </a:extLst>
            </xdr:cNvPr>
            <xdr:cNvSpPr txBox="1"/>
          </xdr:nvSpPr>
          <xdr:spPr>
            <a:xfrm>
              <a:off x="1065610" y="160734"/>
              <a:ext cx="290304" cy="250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DE" sz="1100" b="0" i="0">
                  <a:solidFill>
                    <a:schemeClr val="bg1">
                      <a:lumMod val="65000"/>
                    </a:schemeClr>
                  </a:solidFill>
                  <a:latin typeface="Cambria Math" panose="02040503050406030204" pitchFamily="18" charset="0"/>
                </a:rPr>
                <a:t>𝑣</a:t>
              </a:r>
              <a:r>
                <a:rPr lang="de-AT" sz="1100" b="0" i="0">
                  <a:solidFill>
                    <a:schemeClr val="bg1">
                      <a:lumMod val="65000"/>
                    </a:schemeClr>
                  </a:solidFill>
                  <a:latin typeface="Cambria Math" panose="02040503050406030204" pitchFamily="18" charset="0"/>
                </a:rPr>
                <a:t>_</a:t>
              </a:r>
              <a:r>
                <a:rPr lang="de-DE" sz="1100" b="0" i="0">
                  <a:solidFill>
                    <a:schemeClr val="bg1">
                      <a:lumMod val="65000"/>
                    </a:schemeClr>
                  </a:solidFill>
                  <a:latin typeface="Cambria Math" panose="02040503050406030204" pitchFamily="18" charset="0"/>
                </a:rPr>
                <a:t>50</a:t>
              </a:r>
              <a:endParaRPr lang="de-AT" sz="1100"/>
            </a:p>
          </xdr:txBody>
        </xdr:sp>
      </mc:Fallback>
    </mc:AlternateContent>
    <xdr:clientData/>
  </xdr:oneCellAnchor>
  <xdr:oneCellAnchor>
    <xdr:from>
      <xdr:col>13</xdr:col>
      <xdr:colOff>295276</xdr:colOff>
      <xdr:row>1</xdr:row>
      <xdr:rowOff>158353</xdr:rowOff>
    </xdr:from>
    <xdr:ext cx="382448" cy="228600"/>
    <mc:AlternateContent xmlns:mc="http://schemas.openxmlformats.org/markup-compatibility/2006" xmlns:a14="http://schemas.microsoft.com/office/drawing/2010/main">
      <mc:Choice Requires="a14">
        <xdr:sp macro="" textlink="">
          <xdr:nvSpPr>
            <xdr:cNvPr id="12" name="Textfeld 11">
              <a:extLst>
                <a:ext uri="{FF2B5EF4-FFF2-40B4-BE49-F238E27FC236}">
                  <a16:creationId xmlns:a16="http://schemas.microsoft.com/office/drawing/2014/main" id="{5F83F9B7-6DB0-4CD4-8E67-FFB271E59EBF}"/>
                </a:ext>
              </a:extLst>
            </xdr:cNvPr>
            <xdr:cNvSpPr txBox="1"/>
          </xdr:nvSpPr>
          <xdr:spPr>
            <a:xfrm>
              <a:off x="1069182" y="319087"/>
              <a:ext cx="382448"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AT" sz="1100" i="1">
                            <a:solidFill>
                              <a:schemeClr val="bg1">
                                <a:lumMod val="65000"/>
                              </a:schemeClr>
                            </a:solidFill>
                            <a:latin typeface="Cambria Math" panose="02040503050406030204" pitchFamily="18" charset="0"/>
                          </a:rPr>
                        </m:ctrlPr>
                      </m:sSubPr>
                      <m:e>
                        <m:r>
                          <a:rPr lang="de-DE" sz="1100" b="0" i="1">
                            <a:solidFill>
                              <a:schemeClr val="bg1">
                                <a:lumMod val="65000"/>
                              </a:schemeClr>
                            </a:solidFill>
                            <a:latin typeface="Cambria Math" panose="02040503050406030204" pitchFamily="18" charset="0"/>
                          </a:rPr>
                          <m:t>𝑠</m:t>
                        </m:r>
                      </m:e>
                      <m:sub>
                        <m:r>
                          <a:rPr lang="de-DE" sz="1100" b="0" i="1">
                            <a:solidFill>
                              <a:schemeClr val="bg1">
                                <a:lumMod val="65000"/>
                              </a:schemeClr>
                            </a:solidFill>
                            <a:latin typeface="Cambria Math" panose="02040503050406030204" pitchFamily="18" charset="0"/>
                          </a:rPr>
                          <m:t>𝑘𝑜𝑟𝑟</m:t>
                        </m:r>
                      </m:sub>
                    </m:sSub>
                  </m:oMath>
                </m:oMathPara>
              </a14:m>
              <a:endParaRPr lang="de-AT" sz="1100"/>
            </a:p>
          </xdr:txBody>
        </xdr:sp>
      </mc:Choice>
      <mc:Fallback xmlns="">
        <xdr:sp macro="" textlink="">
          <xdr:nvSpPr>
            <xdr:cNvPr id="12" name="Textfeld 11">
              <a:extLst>
                <a:ext uri="{FF2B5EF4-FFF2-40B4-BE49-F238E27FC236}">
                  <a16:creationId xmlns:a16="http://schemas.microsoft.com/office/drawing/2014/main" id="{5F83F9B7-6DB0-4CD4-8E67-FFB271E59EBF}"/>
                </a:ext>
              </a:extLst>
            </xdr:cNvPr>
            <xdr:cNvSpPr txBox="1"/>
          </xdr:nvSpPr>
          <xdr:spPr>
            <a:xfrm>
              <a:off x="1069182" y="319087"/>
              <a:ext cx="382448"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DE" sz="1100" b="0" i="0">
                  <a:solidFill>
                    <a:schemeClr val="bg1">
                      <a:lumMod val="65000"/>
                    </a:schemeClr>
                  </a:solidFill>
                  <a:latin typeface="Cambria Math" panose="02040503050406030204" pitchFamily="18" charset="0"/>
                </a:rPr>
                <a:t>𝑠</a:t>
              </a:r>
              <a:r>
                <a:rPr lang="de-AT" sz="1100" b="0" i="0">
                  <a:solidFill>
                    <a:schemeClr val="bg1">
                      <a:lumMod val="65000"/>
                    </a:schemeClr>
                  </a:solidFill>
                  <a:latin typeface="Cambria Math" panose="02040503050406030204" pitchFamily="18" charset="0"/>
                </a:rPr>
                <a:t>_</a:t>
              </a:r>
              <a:r>
                <a:rPr lang="de-DE" sz="1100" b="0" i="0">
                  <a:solidFill>
                    <a:schemeClr val="bg1">
                      <a:lumMod val="65000"/>
                    </a:schemeClr>
                  </a:solidFill>
                  <a:latin typeface="Cambria Math" panose="02040503050406030204" pitchFamily="18" charset="0"/>
                </a:rPr>
                <a:t>𝑘𝑜𝑟𝑟</a:t>
              </a:r>
              <a:endParaRPr lang="de-AT" sz="1100"/>
            </a:p>
          </xdr:txBody>
        </xdr:sp>
      </mc:Fallback>
    </mc:AlternateContent>
    <xdr:clientData/>
  </xdr:oneCellAnchor>
  <xdr:oneCellAnchor>
    <xdr:from>
      <xdr:col>1</xdr:col>
      <xdr:colOff>553799</xdr:colOff>
      <xdr:row>10</xdr:row>
      <xdr:rowOff>67724</xdr:rowOff>
    </xdr:from>
    <xdr:ext cx="381927" cy="281526"/>
    <mc:AlternateContent xmlns:mc="http://schemas.openxmlformats.org/markup-compatibility/2006" xmlns:a14="http://schemas.microsoft.com/office/drawing/2010/main">
      <mc:Choice Requires="a14">
        <xdr:sp macro="" textlink="">
          <xdr:nvSpPr>
            <xdr:cNvPr id="13" name="Textfeld 12">
              <a:extLst>
                <a:ext uri="{FF2B5EF4-FFF2-40B4-BE49-F238E27FC236}">
                  <a16:creationId xmlns:a16="http://schemas.microsoft.com/office/drawing/2014/main" id="{CA568461-D16A-421D-961F-FE4468351955}"/>
                </a:ext>
              </a:extLst>
            </xdr:cNvPr>
            <xdr:cNvSpPr txBox="1"/>
          </xdr:nvSpPr>
          <xdr:spPr>
            <a:xfrm>
              <a:off x="1323737" y="1607599"/>
              <a:ext cx="381927" cy="2815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de-AT" sz="1100" i="1">
                            <a:latin typeface="Cambria Math" panose="02040503050406030204" pitchFamily="18" charset="0"/>
                          </a:rPr>
                        </m:ctrlPr>
                      </m:sSubPr>
                      <m:e>
                        <m:r>
                          <a:rPr lang="de-DE" sz="1100" b="0" i="1">
                            <a:latin typeface="Cambria Math" panose="02040503050406030204" pitchFamily="18" charset="0"/>
                          </a:rPr>
                          <m:t>𝑣</m:t>
                        </m:r>
                      </m:e>
                      <m:sub>
                        <m:r>
                          <a:rPr lang="de-DE" sz="1100" b="0" i="1">
                            <a:latin typeface="Cambria Math" panose="02040503050406030204" pitchFamily="18" charset="0"/>
                          </a:rPr>
                          <m:t>50</m:t>
                        </m:r>
                      </m:sub>
                    </m:sSub>
                  </m:oMath>
                </m:oMathPara>
              </a14:m>
              <a:endParaRPr lang="de-AT" sz="1100"/>
            </a:p>
          </xdr:txBody>
        </xdr:sp>
      </mc:Choice>
      <mc:Fallback xmlns="">
        <xdr:sp macro="" textlink="">
          <xdr:nvSpPr>
            <xdr:cNvPr id="13" name="Textfeld 12">
              <a:extLst>
                <a:ext uri="{FF2B5EF4-FFF2-40B4-BE49-F238E27FC236}">
                  <a16:creationId xmlns:a16="http://schemas.microsoft.com/office/drawing/2014/main" id="{CA568461-D16A-421D-961F-FE4468351955}"/>
                </a:ext>
              </a:extLst>
            </xdr:cNvPr>
            <xdr:cNvSpPr txBox="1"/>
          </xdr:nvSpPr>
          <xdr:spPr>
            <a:xfrm>
              <a:off x="1323737" y="1607599"/>
              <a:ext cx="381927" cy="2815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de-DE" sz="1100" b="0" i="0">
                  <a:latin typeface="Cambria Math" panose="02040503050406030204" pitchFamily="18" charset="0"/>
                </a:rPr>
                <a:t>𝑣</a:t>
              </a:r>
              <a:r>
                <a:rPr lang="de-AT" sz="1100" b="0" i="0">
                  <a:latin typeface="Cambria Math" panose="02040503050406030204" pitchFamily="18" charset="0"/>
                </a:rPr>
                <a:t>_</a:t>
              </a:r>
              <a:r>
                <a:rPr lang="de-DE" sz="1100" b="0" i="0">
                  <a:latin typeface="Cambria Math" panose="02040503050406030204" pitchFamily="18" charset="0"/>
                </a:rPr>
                <a:t>50</a:t>
              </a:r>
              <a:endParaRPr lang="de-AT" sz="1100"/>
            </a:p>
          </xdr:txBody>
        </xdr:sp>
      </mc:Fallback>
    </mc:AlternateContent>
    <xdr:clientData/>
  </xdr:oneCellAnchor>
  <xdr:oneCellAnchor>
    <xdr:from>
      <xdr:col>0</xdr:col>
      <xdr:colOff>233278</xdr:colOff>
      <xdr:row>10</xdr:row>
      <xdr:rowOff>96504</xdr:rowOff>
    </xdr:from>
    <xdr:ext cx="172227" cy="284496"/>
    <mc:AlternateContent xmlns:mc="http://schemas.openxmlformats.org/markup-compatibility/2006" xmlns:a14="http://schemas.microsoft.com/office/drawing/2010/main">
      <mc:Choice Requires="a14">
        <xdr:sp macro="" textlink="">
          <xdr:nvSpPr>
            <xdr:cNvPr id="15" name="Textfeld 14">
              <a:extLst>
                <a:ext uri="{FF2B5EF4-FFF2-40B4-BE49-F238E27FC236}">
                  <a16:creationId xmlns:a16="http://schemas.microsoft.com/office/drawing/2014/main" id="{D94E4BBA-2D71-41D6-9607-5E8CD4A539F9}"/>
                </a:ext>
              </a:extLst>
            </xdr:cNvPr>
            <xdr:cNvSpPr txBox="1"/>
          </xdr:nvSpPr>
          <xdr:spPr>
            <a:xfrm rot="16200000">
              <a:off x="177144" y="1692513"/>
              <a:ext cx="28449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AT" sz="1100" i="1">
                            <a:latin typeface="Cambria Math" panose="02040503050406030204" pitchFamily="18" charset="0"/>
                          </a:rPr>
                        </m:ctrlPr>
                      </m:sSubPr>
                      <m:e>
                        <m:r>
                          <a:rPr lang="de-DE" sz="1100" b="0" i="1">
                            <a:latin typeface="Cambria Math" panose="02040503050406030204" pitchFamily="18" charset="0"/>
                          </a:rPr>
                          <m:t>𝑝</m:t>
                        </m:r>
                      </m:e>
                      <m:sub>
                        <m:r>
                          <a:rPr lang="de-DE" sz="1100" b="0" i="1">
                            <a:latin typeface="Cambria Math" panose="02040503050406030204" pitchFamily="18" charset="0"/>
                          </a:rPr>
                          <m:t>𝑣</m:t>
                        </m:r>
                      </m:sub>
                    </m:sSub>
                  </m:oMath>
                </m:oMathPara>
              </a14:m>
              <a:endParaRPr lang="de-AT" sz="1100"/>
            </a:p>
          </xdr:txBody>
        </xdr:sp>
      </mc:Choice>
      <mc:Fallback xmlns="">
        <xdr:sp macro="" textlink="">
          <xdr:nvSpPr>
            <xdr:cNvPr id="15" name="Textfeld 14">
              <a:extLst>
                <a:ext uri="{FF2B5EF4-FFF2-40B4-BE49-F238E27FC236}">
                  <a16:creationId xmlns:a16="http://schemas.microsoft.com/office/drawing/2014/main" id="{D94E4BBA-2D71-41D6-9607-5E8CD4A539F9}"/>
                </a:ext>
              </a:extLst>
            </xdr:cNvPr>
            <xdr:cNvSpPr txBox="1"/>
          </xdr:nvSpPr>
          <xdr:spPr>
            <a:xfrm rot="16200000">
              <a:off x="177144" y="1692513"/>
              <a:ext cx="28449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de-DE" sz="1100" b="0" i="0">
                  <a:latin typeface="Cambria Math" panose="02040503050406030204" pitchFamily="18" charset="0"/>
                </a:rPr>
                <a:t>𝑝</a:t>
              </a:r>
              <a:r>
                <a:rPr lang="de-AT" sz="1100" b="0" i="0">
                  <a:latin typeface="Cambria Math" panose="02040503050406030204" pitchFamily="18" charset="0"/>
                </a:rPr>
                <a:t>_</a:t>
              </a:r>
              <a:r>
                <a:rPr lang="de-DE" sz="1100" b="0" i="0">
                  <a:latin typeface="Cambria Math" panose="02040503050406030204" pitchFamily="18" charset="0"/>
                </a:rPr>
                <a:t>𝑣</a:t>
              </a:r>
              <a:endParaRPr lang="de-AT" sz="1100"/>
            </a:p>
          </xdr:txBody>
        </xdr:sp>
      </mc:Fallback>
    </mc:AlternateContent>
    <xdr:clientData/>
  </xdr:oneCellAnchor>
  <xdr:oneCellAnchor>
    <xdr:from>
      <xdr:col>6</xdr:col>
      <xdr:colOff>214763</xdr:colOff>
      <xdr:row>32</xdr:row>
      <xdr:rowOff>146118</xdr:rowOff>
    </xdr:from>
    <xdr:ext cx="112723" cy="172227"/>
    <mc:AlternateContent xmlns:mc="http://schemas.openxmlformats.org/markup-compatibility/2006" xmlns:a14="http://schemas.microsoft.com/office/drawing/2010/main">
      <mc:Choice Requires="a14">
        <xdr:sp macro="" textlink="">
          <xdr:nvSpPr>
            <xdr:cNvPr id="16" name="Textfeld 15">
              <a:extLst>
                <a:ext uri="{FF2B5EF4-FFF2-40B4-BE49-F238E27FC236}">
                  <a16:creationId xmlns:a16="http://schemas.microsoft.com/office/drawing/2014/main" id="{11486284-FAB1-47B6-99DC-B4771442F07D}"/>
                </a:ext>
              </a:extLst>
            </xdr:cNvPr>
            <xdr:cNvSpPr txBox="1"/>
          </xdr:nvSpPr>
          <xdr:spPr>
            <a:xfrm>
              <a:off x="4834388" y="5178493"/>
              <a:ext cx="1127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de-DE" sz="1100" b="0" i="1">
                            <a:latin typeface="Cambria Math" panose="02040503050406030204" pitchFamily="18" charset="0"/>
                          </a:rPr>
                        </m:ctrlPr>
                      </m:accPr>
                      <m:e>
                        <m:r>
                          <a:rPr lang="de-DE" sz="1100" b="0" i="1">
                            <a:latin typeface="Cambria Math" panose="02040503050406030204" pitchFamily="18" charset="0"/>
                          </a:rPr>
                          <m:t>𝑣</m:t>
                        </m:r>
                      </m:e>
                    </m:acc>
                  </m:oMath>
                </m:oMathPara>
              </a14:m>
              <a:endParaRPr lang="de-AT" sz="1100"/>
            </a:p>
          </xdr:txBody>
        </xdr:sp>
      </mc:Choice>
      <mc:Fallback xmlns="">
        <xdr:sp macro="" textlink="">
          <xdr:nvSpPr>
            <xdr:cNvPr id="16" name="Textfeld 15">
              <a:extLst>
                <a:ext uri="{FF2B5EF4-FFF2-40B4-BE49-F238E27FC236}">
                  <a16:creationId xmlns:a16="http://schemas.microsoft.com/office/drawing/2014/main" id="{11486284-FAB1-47B6-99DC-B4771442F07D}"/>
                </a:ext>
              </a:extLst>
            </xdr:cNvPr>
            <xdr:cNvSpPr txBox="1"/>
          </xdr:nvSpPr>
          <xdr:spPr>
            <a:xfrm>
              <a:off x="4834388" y="5178493"/>
              <a:ext cx="1127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𝑣 ̅</a:t>
              </a:r>
              <a:endParaRPr lang="de-AT" sz="1100"/>
            </a:p>
          </xdr:txBody>
        </xdr:sp>
      </mc:Fallback>
    </mc:AlternateContent>
    <xdr:clientData/>
  </xdr:oneCellAnchor>
  <xdr:oneCellAnchor>
    <xdr:from>
      <xdr:col>3</xdr:col>
      <xdr:colOff>708605</xdr:colOff>
      <xdr:row>5</xdr:row>
      <xdr:rowOff>49905</xdr:rowOff>
    </xdr:from>
    <xdr:ext cx="143104" cy="172227"/>
    <mc:AlternateContent xmlns:mc="http://schemas.openxmlformats.org/markup-compatibility/2006" xmlns:a14="http://schemas.microsoft.com/office/drawing/2010/main">
      <mc:Choice Requires="a14">
        <xdr:sp macro="" textlink="">
          <xdr:nvSpPr>
            <xdr:cNvPr id="20" name="Textfeld 19">
              <a:extLst>
                <a:ext uri="{FF2B5EF4-FFF2-40B4-BE49-F238E27FC236}">
                  <a16:creationId xmlns:a16="http://schemas.microsoft.com/office/drawing/2014/main" id="{50B392E6-548A-4B4C-AD18-C4642F639289}"/>
                </a:ext>
              </a:extLst>
            </xdr:cNvPr>
            <xdr:cNvSpPr txBox="1"/>
          </xdr:nvSpPr>
          <xdr:spPr>
            <a:xfrm>
              <a:off x="3018418" y="748405"/>
              <a:ext cx="143104" cy="1722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AT" sz="1100" i="1">
                            <a:latin typeface="Cambria Math" panose="02040503050406030204" pitchFamily="18" charset="0"/>
                          </a:rPr>
                        </m:ctrlPr>
                      </m:sSubPr>
                      <m:e>
                        <m:r>
                          <a:rPr lang="de-DE" sz="1100" b="0" i="1">
                            <a:latin typeface="Cambria Math" panose="02040503050406030204" pitchFamily="18" charset="0"/>
                          </a:rPr>
                          <m:t>𝐹</m:t>
                        </m:r>
                      </m:e>
                      <m:sub>
                        <m:r>
                          <a:rPr lang="de-DE" sz="1100" b="0" i="1">
                            <a:latin typeface="Cambria Math" panose="02040503050406030204" pitchFamily="18" charset="0"/>
                          </a:rPr>
                          <m:t>𝑘</m:t>
                        </m:r>
                      </m:sub>
                    </m:sSub>
                  </m:oMath>
                </m:oMathPara>
              </a14:m>
              <a:endParaRPr lang="de-AT" sz="1100"/>
            </a:p>
          </xdr:txBody>
        </xdr:sp>
      </mc:Choice>
      <mc:Fallback xmlns="">
        <xdr:sp macro="" textlink="">
          <xdr:nvSpPr>
            <xdr:cNvPr id="20" name="Textfeld 19">
              <a:extLst>
                <a:ext uri="{FF2B5EF4-FFF2-40B4-BE49-F238E27FC236}">
                  <a16:creationId xmlns:a16="http://schemas.microsoft.com/office/drawing/2014/main" id="{50B392E6-548A-4B4C-AD18-C4642F639289}"/>
                </a:ext>
              </a:extLst>
            </xdr:cNvPr>
            <xdr:cNvSpPr txBox="1"/>
          </xdr:nvSpPr>
          <xdr:spPr>
            <a:xfrm>
              <a:off x="3018418" y="748405"/>
              <a:ext cx="143104" cy="1722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de-DE" sz="1100" b="0" i="0">
                  <a:latin typeface="Cambria Math" panose="02040503050406030204" pitchFamily="18" charset="0"/>
                </a:rPr>
                <a:t>𝐹</a:t>
              </a:r>
              <a:r>
                <a:rPr lang="de-AT" sz="1100" b="0" i="0">
                  <a:latin typeface="Cambria Math" panose="02040503050406030204" pitchFamily="18" charset="0"/>
                </a:rPr>
                <a:t>_</a:t>
              </a:r>
              <a:r>
                <a:rPr lang="de-DE" sz="1100" b="0" i="0">
                  <a:latin typeface="Cambria Math" panose="02040503050406030204" pitchFamily="18" charset="0"/>
                </a:rPr>
                <a:t>𝑘</a:t>
              </a:r>
              <a:endParaRPr lang="de-AT" sz="1100"/>
            </a:p>
          </xdr:txBody>
        </xdr:sp>
      </mc:Fallback>
    </mc:AlternateContent>
    <xdr:clientData/>
  </xdr:oneCellAnchor>
  <xdr:twoCellAnchor>
    <xdr:from>
      <xdr:col>0</xdr:col>
      <xdr:colOff>165230</xdr:colOff>
      <xdr:row>35</xdr:row>
      <xdr:rowOff>39687</xdr:rowOff>
    </xdr:from>
    <xdr:to>
      <xdr:col>10</xdr:col>
      <xdr:colOff>456812</xdr:colOff>
      <xdr:row>37</xdr:row>
      <xdr:rowOff>174949</xdr:rowOff>
    </xdr:to>
    <xdr:sp macro="" textlink="">
      <xdr:nvSpPr>
        <xdr:cNvPr id="21" name="Textfeld 20">
          <a:extLst>
            <a:ext uri="{FF2B5EF4-FFF2-40B4-BE49-F238E27FC236}">
              <a16:creationId xmlns:a16="http://schemas.microsoft.com/office/drawing/2014/main" id="{33C7DC2A-13E3-4112-9127-E45B56B00C62}"/>
            </a:ext>
          </a:extLst>
        </xdr:cNvPr>
        <xdr:cNvSpPr txBox="1"/>
      </xdr:nvSpPr>
      <xdr:spPr>
        <a:xfrm>
          <a:off x="165230" y="5744968"/>
          <a:ext cx="7969898" cy="465721"/>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AT" sz="1100" b="1"/>
            <a:t>Um die untere und obere Diagrammgrenze</a:t>
          </a:r>
          <a:r>
            <a:rPr lang="de-AT" sz="1100" b="1" baseline="0"/>
            <a:t> der x-Achse zu änder bitte diese Achsenwertbeschriftung mit der linken Maustaste auswählen, dann mit rechter Maustaste dafür "Achse formatieren..." auswählen und Minimum- bzw. Maximum-Wert eingeben.</a:t>
          </a:r>
          <a:endParaRPr lang="de-AT" sz="1100" b="1"/>
        </a:p>
      </xdr:txBody>
    </xdr:sp>
    <xdr:clientData/>
  </xdr:twoCellAnchor>
  <xdr:twoCellAnchor editAs="oneCell">
    <xdr:from>
      <xdr:col>2</xdr:col>
      <xdr:colOff>436274</xdr:colOff>
      <xdr:row>51</xdr:row>
      <xdr:rowOff>136071</xdr:rowOff>
    </xdr:from>
    <xdr:to>
      <xdr:col>4</xdr:col>
      <xdr:colOff>430230</xdr:colOff>
      <xdr:row>72</xdr:row>
      <xdr:rowOff>79717</xdr:rowOff>
    </xdr:to>
    <xdr:pic>
      <xdr:nvPicPr>
        <xdr:cNvPr id="3" name="Grafik 2">
          <a:extLst>
            <a:ext uri="{FF2B5EF4-FFF2-40B4-BE49-F238E27FC236}">
              <a16:creationId xmlns:a16="http://schemas.microsoft.com/office/drawing/2014/main" id="{70B4985A-C780-4D6C-A14D-0DD24719A923}"/>
            </a:ext>
          </a:extLst>
        </xdr:cNvPr>
        <xdr:cNvPicPr>
          <a:picLocks noChangeAspect="1"/>
        </xdr:cNvPicPr>
      </xdr:nvPicPr>
      <xdr:blipFill>
        <a:blip xmlns:r="http://schemas.openxmlformats.org/officeDocument/2006/relationships" r:embed="rId3"/>
        <a:stretch>
          <a:fillRect/>
        </a:stretch>
      </xdr:blipFill>
      <xdr:spPr>
        <a:xfrm>
          <a:off x="1971937" y="8601658"/>
          <a:ext cx="1529620" cy="3413468"/>
        </a:xfrm>
        <a:prstGeom prst="rect">
          <a:avLst/>
        </a:prstGeom>
      </xdr:spPr>
    </xdr:pic>
    <xdr:clientData/>
  </xdr:twoCellAnchor>
  <xdr:twoCellAnchor editAs="oneCell">
    <xdr:from>
      <xdr:col>4</xdr:col>
      <xdr:colOff>482115</xdr:colOff>
      <xdr:row>53</xdr:row>
      <xdr:rowOff>5501</xdr:rowOff>
    </xdr:from>
    <xdr:to>
      <xdr:col>6</xdr:col>
      <xdr:colOff>459971</xdr:colOff>
      <xdr:row>73</xdr:row>
      <xdr:rowOff>146580</xdr:rowOff>
    </xdr:to>
    <xdr:pic>
      <xdr:nvPicPr>
        <xdr:cNvPr id="5" name="Grafik 4">
          <a:extLst>
            <a:ext uri="{FF2B5EF4-FFF2-40B4-BE49-F238E27FC236}">
              <a16:creationId xmlns:a16="http://schemas.microsoft.com/office/drawing/2014/main" id="{86D7367A-5BB7-4F6D-A309-DC803FC7C3E6}"/>
            </a:ext>
          </a:extLst>
        </xdr:cNvPr>
        <xdr:cNvPicPr>
          <a:picLocks noChangeAspect="1"/>
        </xdr:cNvPicPr>
      </xdr:nvPicPr>
      <xdr:blipFill>
        <a:blip xmlns:r="http://schemas.openxmlformats.org/officeDocument/2006/relationships" r:embed="rId4"/>
        <a:stretch>
          <a:fillRect/>
        </a:stretch>
      </xdr:blipFill>
      <xdr:spPr>
        <a:xfrm>
          <a:off x="3553442" y="8801547"/>
          <a:ext cx="1513519" cy="3445671"/>
        </a:xfrm>
        <a:prstGeom prst="rect">
          <a:avLst/>
        </a:prstGeom>
      </xdr:spPr>
    </xdr:pic>
    <xdr:clientData/>
  </xdr:twoCellAnchor>
  <xdr:twoCellAnchor editAs="oneCell">
    <xdr:from>
      <xdr:col>0</xdr:col>
      <xdr:colOff>184669</xdr:colOff>
      <xdr:row>74</xdr:row>
      <xdr:rowOff>95550</xdr:rowOff>
    </xdr:from>
    <xdr:to>
      <xdr:col>5</xdr:col>
      <xdr:colOff>427654</xdr:colOff>
      <xdr:row>79</xdr:row>
      <xdr:rowOff>16837</xdr:rowOff>
    </xdr:to>
    <xdr:pic>
      <xdr:nvPicPr>
        <xdr:cNvPr id="14" name="Grafik 13">
          <a:extLst>
            <a:ext uri="{FF2B5EF4-FFF2-40B4-BE49-F238E27FC236}">
              <a16:creationId xmlns:a16="http://schemas.microsoft.com/office/drawing/2014/main" id="{1B9C9800-873F-41D4-9A0E-187B4232CDEA}"/>
            </a:ext>
          </a:extLst>
        </xdr:cNvPr>
        <xdr:cNvPicPr>
          <a:picLocks noChangeAspect="1"/>
        </xdr:cNvPicPr>
      </xdr:nvPicPr>
      <xdr:blipFill>
        <a:blip xmlns:r="http://schemas.openxmlformats.org/officeDocument/2006/relationships" r:embed="rId5"/>
        <a:stretch>
          <a:fillRect/>
        </a:stretch>
      </xdr:blipFill>
      <xdr:spPr>
        <a:xfrm>
          <a:off x="184669" y="12361417"/>
          <a:ext cx="4082143" cy="747435"/>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B123"/>
  <sheetViews>
    <sheetView tabSelected="1" view="pageBreakPreview" zoomScale="145" zoomScaleNormal="100" zoomScaleSheetLayoutView="145" workbookViewId="0">
      <selection activeCell="D30" sqref="D30:E30"/>
    </sheetView>
  </sheetViews>
  <sheetFormatPr baseColWidth="10" defaultRowHeight="12.75" x14ac:dyDescent="0.2"/>
  <cols>
    <col min="1" max="1" width="9.28515625" style="36" customWidth="1"/>
    <col min="2" max="2" width="7.5703125" style="36" customWidth="1"/>
    <col min="3" max="3" width="8.7109375" style="39" customWidth="1"/>
    <col min="4" max="5" width="12.7109375" style="39" customWidth="1"/>
    <col min="6" max="6" width="2.7109375" style="39" customWidth="1"/>
    <col min="7" max="7" width="10.7109375" style="39" customWidth="1"/>
    <col min="8" max="8" width="12.7109375" style="39" customWidth="1"/>
    <col min="9" max="9" width="10.7109375" style="39" customWidth="1"/>
    <col min="10" max="10" width="2.7109375" style="38" customWidth="1"/>
    <col min="11" max="11" width="7.85546875" style="36" customWidth="1"/>
    <col min="12" max="12" width="7.5703125" style="36" customWidth="1"/>
    <col min="13" max="14" width="9.7109375" style="39" customWidth="1"/>
    <col min="15" max="17" width="8.7109375" style="39" customWidth="1"/>
    <col min="18" max="19" width="10.7109375" style="39" customWidth="1"/>
    <col min="20" max="20" width="2.7109375" style="38" customWidth="1"/>
    <col min="21" max="21" width="7.85546875" style="81" customWidth="1"/>
    <col min="22" max="22" width="7.5703125" style="81" customWidth="1"/>
    <col min="23" max="24" width="9.7109375" style="35" customWidth="1"/>
    <col min="25" max="27" width="8.7109375" style="35" customWidth="1"/>
    <col min="28" max="29" width="10.7109375" style="35" customWidth="1"/>
    <col min="30" max="30" width="10.7109375" style="35" hidden="1" customWidth="1"/>
    <col min="31" max="32" width="11.42578125" style="35" hidden="1" customWidth="1"/>
    <col min="33" max="33" width="2.7109375" style="35" hidden="1" customWidth="1"/>
    <col min="34" max="36" width="10.7109375" style="35" hidden="1" customWidth="1"/>
    <col min="37" max="37" width="2.7109375" style="35" hidden="1" customWidth="1"/>
    <col min="38" max="41" width="9.140625" style="35" hidden="1" customWidth="1"/>
    <col min="42" max="42" width="2.7109375" style="35" hidden="1" customWidth="1"/>
    <col min="43" max="48" width="11.42578125" style="35" hidden="1" customWidth="1"/>
    <col min="49" max="50" width="11.42578125" style="35" customWidth="1"/>
    <col min="51" max="80" width="11.42578125" style="35"/>
    <col min="81" max="236" width="11.42578125" style="49"/>
    <col min="237" max="16384" width="11.42578125" style="38"/>
  </cols>
  <sheetData>
    <row r="1" spans="1:41" x14ac:dyDescent="0.2">
      <c r="A1" s="219" t="s">
        <v>21</v>
      </c>
      <c r="B1" s="220"/>
      <c r="C1" s="220"/>
      <c r="D1" s="220"/>
      <c r="E1" s="220"/>
      <c r="F1" s="220"/>
      <c r="G1" s="220"/>
      <c r="H1" s="220"/>
      <c r="I1" s="220"/>
      <c r="K1" s="219" t="s">
        <v>21</v>
      </c>
      <c r="L1" s="220"/>
      <c r="M1" s="220"/>
      <c r="N1" s="220"/>
      <c r="O1" s="220"/>
      <c r="P1" s="220"/>
      <c r="Q1" s="220"/>
      <c r="R1" s="220"/>
      <c r="S1" s="220"/>
      <c r="U1" s="219" t="s">
        <v>21</v>
      </c>
      <c r="V1" s="232"/>
      <c r="W1" s="232"/>
      <c r="X1" s="232"/>
      <c r="Y1" s="232"/>
      <c r="Z1" s="232"/>
      <c r="AA1" s="232"/>
      <c r="AB1" s="232"/>
      <c r="AC1" s="232"/>
      <c r="AD1" s="131"/>
      <c r="AH1" s="131"/>
      <c r="AI1" s="131"/>
      <c r="AJ1" s="131"/>
      <c r="AK1" s="131"/>
      <c r="AL1" s="131"/>
      <c r="AM1" s="131"/>
      <c r="AN1" s="131"/>
      <c r="AO1" s="131"/>
    </row>
    <row r="2" spans="1:41" ht="9" customHeight="1" x14ac:dyDescent="0.2">
      <c r="A2" s="220"/>
      <c r="B2" s="220"/>
      <c r="C2" s="220"/>
      <c r="D2" s="220"/>
      <c r="E2" s="220"/>
      <c r="F2" s="220"/>
      <c r="G2" s="220"/>
      <c r="H2" s="220"/>
      <c r="I2" s="220"/>
      <c r="K2" s="220"/>
      <c r="L2" s="220"/>
      <c r="M2" s="220"/>
      <c r="N2" s="220"/>
      <c r="O2" s="220"/>
      <c r="P2" s="220"/>
      <c r="Q2" s="220"/>
      <c r="R2" s="220"/>
      <c r="S2" s="220"/>
      <c r="U2" s="232"/>
      <c r="V2" s="232"/>
      <c r="W2" s="232"/>
      <c r="X2" s="232"/>
      <c r="Y2" s="232"/>
      <c r="Z2" s="232"/>
      <c r="AA2" s="232"/>
      <c r="AB2" s="232"/>
      <c r="AC2" s="232"/>
      <c r="AD2" s="131"/>
      <c r="AH2" s="131"/>
      <c r="AI2" s="131"/>
      <c r="AJ2" s="131"/>
      <c r="AK2" s="131"/>
      <c r="AL2" s="131"/>
      <c r="AM2" s="131"/>
      <c r="AN2" s="131"/>
      <c r="AO2" s="131"/>
    </row>
    <row r="3" spans="1:41" ht="9.6" customHeight="1" x14ac:dyDescent="0.2">
      <c r="A3" s="220"/>
      <c r="B3" s="220"/>
      <c r="C3" s="220"/>
      <c r="D3" s="220"/>
      <c r="E3" s="220"/>
      <c r="F3" s="220"/>
      <c r="G3" s="220"/>
      <c r="H3" s="220"/>
      <c r="I3" s="220"/>
      <c r="K3" s="220"/>
      <c r="L3" s="220"/>
      <c r="M3" s="220"/>
      <c r="N3" s="220"/>
      <c r="O3" s="220"/>
      <c r="P3" s="220"/>
      <c r="Q3" s="220"/>
      <c r="R3" s="220"/>
      <c r="S3" s="220"/>
      <c r="U3" s="232"/>
      <c r="V3" s="232"/>
      <c r="W3" s="232"/>
      <c r="X3" s="232"/>
      <c r="Y3" s="232"/>
      <c r="Z3" s="232"/>
      <c r="AA3" s="232"/>
      <c r="AB3" s="232"/>
      <c r="AC3" s="232"/>
      <c r="AD3" s="131"/>
      <c r="AH3" s="131"/>
      <c r="AI3" s="131"/>
      <c r="AJ3" s="131"/>
      <c r="AK3" s="131"/>
      <c r="AL3" s="131"/>
      <c r="AM3" s="131"/>
      <c r="AN3" s="131"/>
      <c r="AO3" s="131"/>
    </row>
    <row r="4" spans="1:41" ht="9.6" customHeight="1" x14ac:dyDescent="0.2">
      <c r="A4" s="220"/>
      <c r="B4" s="220"/>
      <c r="C4" s="220"/>
      <c r="D4" s="220"/>
      <c r="E4" s="220"/>
      <c r="F4" s="220"/>
      <c r="G4" s="220"/>
      <c r="H4" s="220"/>
      <c r="I4" s="220"/>
      <c r="K4" s="220"/>
      <c r="L4" s="220"/>
      <c r="M4" s="220"/>
      <c r="N4" s="220"/>
      <c r="O4" s="220"/>
      <c r="P4" s="220"/>
      <c r="Q4" s="220"/>
      <c r="R4" s="220"/>
      <c r="S4" s="220"/>
      <c r="U4" s="232"/>
      <c r="V4" s="232"/>
      <c r="W4" s="232"/>
      <c r="X4" s="232"/>
      <c r="Y4" s="232"/>
      <c r="Z4" s="232"/>
      <c r="AA4" s="232"/>
      <c r="AB4" s="232"/>
      <c r="AC4" s="232"/>
      <c r="AD4" s="131"/>
      <c r="AH4" s="131"/>
      <c r="AI4" s="131"/>
      <c r="AJ4" s="131"/>
      <c r="AK4" s="131"/>
      <c r="AL4" s="131"/>
      <c r="AM4" s="131"/>
      <c r="AN4" s="131"/>
      <c r="AO4" s="131"/>
    </row>
    <row r="5" spans="1:41" ht="9.6" customHeight="1" x14ac:dyDescent="0.2">
      <c r="A5" s="220"/>
      <c r="B5" s="220"/>
      <c r="C5" s="220"/>
      <c r="D5" s="220"/>
      <c r="E5" s="220"/>
      <c r="F5" s="220"/>
      <c r="G5" s="220"/>
      <c r="H5" s="220"/>
      <c r="I5" s="220"/>
      <c r="K5" s="220"/>
      <c r="L5" s="220"/>
      <c r="M5" s="220"/>
      <c r="N5" s="220"/>
      <c r="O5" s="220"/>
      <c r="P5" s="220"/>
      <c r="Q5" s="220"/>
      <c r="R5" s="220"/>
      <c r="S5" s="220"/>
      <c r="U5" s="232"/>
      <c r="V5" s="232"/>
      <c r="W5" s="232"/>
      <c r="X5" s="232"/>
      <c r="Y5" s="232"/>
      <c r="Z5" s="232"/>
      <c r="AA5" s="232"/>
      <c r="AB5" s="232"/>
      <c r="AC5" s="232"/>
      <c r="AD5" s="131"/>
      <c r="AH5" s="131"/>
      <c r="AI5" s="131"/>
      <c r="AJ5" s="131"/>
      <c r="AK5" s="131"/>
      <c r="AL5" s="131"/>
      <c r="AM5" s="131"/>
      <c r="AN5" s="131"/>
      <c r="AO5" s="131"/>
    </row>
    <row r="6" spans="1:41" ht="9.6" customHeight="1" x14ac:dyDescent="0.2">
      <c r="A6" s="220"/>
      <c r="B6" s="220"/>
      <c r="C6" s="220"/>
      <c r="D6" s="220"/>
      <c r="E6" s="220"/>
      <c r="F6" s="220"/>
      <c r="G6" s="220"/>
      <c r="H6" s="220"/>
      <c r="I6" s="220"/>
      <c r="K6" s="220"/>
      <c r="L6" s="220"/>
      <c r="M6" s="220"/>
      <c r="N6" s="220"/>
      <c r="O6" s="220"/>
      <c r="P6" s="220"/>
      <c r="Q6" s="220"/>
      <c r="R6" s="220"/>
      <c r="S6" s="220"/>
      <c r="U6" s="232"/>
      <c r="V6" s="232"/>
      <c r="W6" s="232"/>
      <c r="X6" s="232"/>
      <c r="Y6" s="232"/>
      <c r="Z6" s="232"/>
      <c r="AA6" s="232"/>
      <c r="AB6" s="232"/>
      <c r="AC6" s="232"/>
      <c r="AD6" s="131"/>
      <c r="AH6" s="131"/>
      <c r="AI6" s="131"/>
      <c r="AJ6" s="131"/>
      <c r="AK6" s="131"/>
      <c r="AL6" s="131"/>
      <c r="AM6" s="131"/>
      <c r="AN6" s="131"/>
      <c r="AO6" s="131"/>
    </row>
    <row r="7" spans="1:41" ht="12.95" customHeight="1" x14ac:dyDescent="0.2">
      <c r="A7" s="220"/>
      <c r="B7" s="220"/>
      <c r="C7" s="220"/>
      <c r="D7" s="220"/>
      <c r="E7" s="220"/>
      <c r="F7" s="220"/>
      <c r="G7" s="220"/>
      <c r="H7" s="220"/>
      <c r="I7" s="220"/>
      <c r="K7" s="220"/>
      <c r="L7" s="220"/>
      <c r="M7" s="220"/>
      <c r="N7" s="220"/>
      <c r="O7" s="220"/>
      <c r="P7" s="220"/>
      <c r="Q7" s="220"/>
      <c r="R7" s="220"/>
      <c r="S7" s="220"/>
      <c r="U7" s="232"/>
      <c r="V7" s="232"/>
      <c r="W7" s="232"/>
      <c r="X7" s="232"/>
      <c r="Y7" s="232"/>
      <c r="Z7" s="232"/>
      <c r="AA7" s="232"/>
      <c r="AB7" s="232"/>
      <c r="AC7" s="232"/>
      <c r="AD7" s="131"/>
      <c r="AH7" s="131"/>
      <c r="AI7" s="131"/>
      <c r="AJ7" s="131"/>
      <c r="AK7" s="131"/>
      <c r="AL7" s="131"/>
      <c r="AM7" s="131"/>
      <c r="AN7" s="131"/>
      <c r="AO7" s="131"/>
    </row>
    <row r="8" spans="1:41" ht="5.0999999999999996" customHeight="1" x14ac:dyDescent="0.2">
      <c r="A8" s="35"/>
      <c r="B8" s="35"/>
      <c r="C8" s="35"/>
      <c r="D8" s="35"/>
      <c r="E8" s="35"/>
      <c r="F8" s="35"/>
      <c r="G8" s="35"/>
      <c r="K8" s="35"/>
      <c r="L8" s="35"/>
      <c r="M8" s="35"/>
      <c r="N8" s="35"/>
      <c r="O8" s="35"/>
      <c r="P8" s="35"/>
      <c r="Q8" s="35"/>
      <c r="U8" s="35"/>
      <c r="V8" s="35"/>
    </row>
    <row r="9" spans="1:41" ht="12.95" customHeight="1" x14ac:dyDescent="0.2">
      <c r="A9" s="35"/>
      <c r="B9" s="35"/>
      <c r="C9" s="35"/>
      <c r="D9" s="35"/>
      <c r="E9" s="35"/>
      <c r="F9" s="35"/>
      <c r="G9" s="79" t="s">
        <v>3</v>
      </c>
      <c r="H9" s="221"/>
      <c r="I9" s="221"/>
      <c r="K9" s="35"/>
      <c r="L9" s="35"/>
      <c r="M9" s="35"/>
      <c r="N9" s="35"/>
      <c r="O9" s="35"/>
      <c r="P9" s="35"/>
      <c r="Q9" s="79" t="s">
        <v>3</v>
      </c>
      <c r="R9" s="233" t="str">
        <f>IF(H9&lt;&gt;0,H9," ")</f>
        <v xml:space="preserve"> </v>
      </c>
      <c r="S9" s="233"/>
      <c r="U9" s="35"/>
      <c r="V9" s="35"/>
      <c r="AA9" s="79" t="s">
        <v>3</v>
      </c>
      <c r="AB9" s="233" t="str">
        <f>IF(R9&lt;&gt;0,R9," ")</f>
        <v xml:space="preserve"> </v>
      </c>
      <c r="AC9" s="233"/>
      <c r="AD9" s="132"/>
      <c r="AH9" s="133"/>
      <c r="AI9" s="133"/>
      <c r="AJ9" s="133"/>
      <c r="AK9" s="133"/>
      <c r="AL9" s="133"/>
      <c r="AM9" s="133"/>
      <c r="AN9" s="133"/>
      <c r="AO9" s="133"/>
    </row>
    <row r="10" spans="1:41" ht="12.95" customHeight="1" x14ac:dyDescent="0.2">
      <c r="A10" s="222" t="s">
        <v>48</v>
      </c>
      <c r="B10" s="223"/>
      <c r="C10" s="223"/>
      <c r="D10" s="223"/>
      <c r="E10" s="223"/>
      <c r="F10" s="223"/>
      <c r="G10" s="223"/>
      <c r="H10" s="223"/>
      <c r="I10" s="223"/>
      <c r="K10" s="222" t="s">
        <v>22</v>
      </c>
      <c r="L10" s="223"/>
      <c r="M10" s="223"/>
      <c r="N10" s="223"/>
      <c r="O10" s="223"/>
      <c r="P10" s="223"/>
      <c r="Q10" s="223"/>
      <c r="R10" s="223"/>
      <c r="S10" s="223"/>
      <c r="U10" s="222" t="s">
        <v>49</v>
      </c>
      <c r="V10" s="234"/>
      <c r="W10" s="234"/>
      <c r="X10" s="234"/>
      <c r="Y10" s="234"/>
      <c r="Z10" s="234"/>
      <c r="AA10" s="234"/>
      <c r="AB10" s="234"/>
      <c r="AC10" s="234"/>
      <c r="AD10" s="86"/>
      <c r="AH10" s="86"/>
      <c r="AI10" s="86"/>
      <c r="AJ10" s="86"/>
      <c r="AK10" s="86"/>
      <c r="AL10" s="86"/>
      <c r="AM10" s="86"/>
      <c r="AN10" s="86"/>
      <c r="AO10" s="86"/>
    </row>
    <row r="11" spans="1:41" ht="12.95" customHeight="1" x14ac:dyDescent="0.2">
      <c r="A11" s="1"/>
      <c r="B11" s="1"/>
      <c r="C11" s="1"/>
      <c r="D11" s="1"/>
      <c r="E11" s="1"/>
      <c r="F11" s="1"/>
      <c r="G11" s="1"/>
      <c r="H11" s="1"/>
      <c r="I11" s="1"/>
      <c r="K11" s="1"/>
      <c r="L11" s="1"/>
      <c r="M11" s="1"/>
      <c r="N11" s="1"/>
      <c r="O11" s="1"/>
      <c r="P11" s="1"/>
      <c r="Q11" s="1"/>
      <c r="R11" s="1"/>
      <c r="S11" s="1"/>
      <c r="U11" s="240"/>
      <c r="V11" s="200"/>
      <c r="W11" s="200"/>
      <c r="X11" s="200"/>
      <c r="Y11" s="200"/>
      <c r="Z11" s="200"/>
      <c r="AA11" s="200"/>
      <c r="AB11" s="200"/>
      <c r="AC11" s="200"/>
      <c r="AD11" s="1"/>
      <c r="AH11" s="1"/>
      <c r="AI11" s="1"/>
      <c r="AJ11" s="1"/>
      <c r="AK11" s="1"/>
      <c r="AL11" s="1"/>
      <c r="AM11" s="1"/>
      <c r="AN11" s="1"/>
      <c r="AO11" s="1"/>
    </row>
    <row r="12" spans="1:41" ht="12.95" customHeight="1" x14ac:dyDescent="0.2">
      <c r="A12" s="37" t="s">
        <v>0</v>
      </c>
      <c r="B12" s="1"/>
      <c r="C12" s="224"/>
      <c r="D12" s="224"/>
      <c r="E12" s="224"/>
      <c r="F12" s="224"/>
      <c r="G12" s="225"/>
      <c r="H12" s="77" t="s">
        <v>2</v>
      </c>
      <c r="I12" s="66"/>
      <c r="K12" s="37" t="s">
        <v>0</v>
      </c>
      <c r="L12" s="1"/>
      <c r="M12" s="235" t="str">
        <f>IF(C12&lt;&gt;0,C12," ")</f>
        <v xml:space="preserve"> </v>
      </c>
      <c r="N12" s="236"/>
      <c r="O12" s="236"/>
      <c r="P12" s="237"/>
      <c r="Q12" s="1"/>
      <c r="R12" s="77" t="s">
        <v>2</v>
      </c>
      <c r="S12" s="134" t="str">
        <f>IF(I12&lt;&gt;0,I12," ")</f>
        <v xml:space="preserve"> </v>
      </c>
      <c r="U12" s="37" t="s">
        <v>0</v>
      </c>
      <c r="V12" s="1"/>
      <c r="W12" s="235" t="str">
        <f>IF(M12&lt;&gt;0,M12," ")</f>
        <v xml:space="preserve"> </v>
      </c>
      <c r="X12" s="236"/>
      <c r="Y12" s="236"/>
      <c r="Z12" s="237"/>
      <c r="AA12" s="1"/>
      <c r="AB12" s="77" t="s">
        <v>2</v>
      </c>
      <c r="AC12" s="134" t="str">
        <f>IF(S12&lt;&gt;0,S12," ")</f>
        <v xml:space="preserve"> </v>
      </c>
      <c r="AD12" s="134"/>
      <c r="AH12" s="135"/>
      <c r="AI12" s="135"/>
      <c r="AJ12" s="135"/>
      <c r="AK12" s="135"/>
      <c r="AL12" s="135"/>
      <c r="AM12" s="135"/>
      <c r="AN12" s="135"/>
      <c r="AO12" s="135"/>
    </row>
    <row r="13" spans="1:41" ht="12.95" customHeight="1" x14ac:dyDescent="0.2">
      <c r="A13" s="226" t="s">
        <v>1</v>
      </c>
      <c r="B13" s="226"/>
      <c r="C13" s="224"/>
      <c r="D13" s="224"/>
      <c r="E13" s="224"/>
      <c r="F13" s="224"/>
      <c r="G13" s="225"/>
      <c r="H13" s="77"/>
      <c r="I13" s="1"/>
      <c r="K13" s="226" t="s">
        <v>1</v>
      </c>
      <c r="L13" s="226"/>
      <c r="M13" s="235" t="str">
        <f>IF(C13&lt;&gt;0,C13," ")</f>
        <v xml:space="preserve"> </v>
      </c>
      <c r="N13" s="236"/>
      <c r="O13" s="236"/>
      <c r="P13" s="237"/>
      <c r="Q13" s="1"/>
      <c r="R13" s="77"/>
      <c r="S13" s="1"/>
      <c r="U13" s="226" t="s">
        <v>1</v>
      </c>
      <c r="V13" s="226"/>
      <c r="W13" s="235" t="str">
        <f>IF(M13&lt;&gt;0,M13," ")</f>
        <v xml:space="preserve"> </v>
      </c>
      <c r="X13" s="236"/>
      <c r="Y13" s="236"/>
      <c r="Z13" s="237"/>
      <c r="AA13" s="1"/>
      <c r="AB13" s="77"/>
      <c r="AC13" s="1"/>
      <c r="AD13" s="1"/>
      <c r="AH13" s="1"/>
      <c r="AI13" s="1"/>
      <c r="AJ13" s="1"/>
      <c r="AK13" s="1"/>
      <c r="AL13" s="1"/>
      <c r="AM13" s="1"/>
      <c r="AN13" s="1"/>
      <c r="AO13" s="1"/>
    </row>
    <row r="14" spans="1:41" ht="12.95" customHeight="1" x14ac:dyDescent="0.2">
      <c r="A14" s="35"/>
      <c r="C14" s="35"/>
      <c r="D14" s="1"/>
      <c r="E14" s="1"/>
      <c r="F14" s="1"/>
      <c r="G14" s="1"/>
      <c r="H14" s="77"/>
      <c r="I14" s="1"/>
      <c r="K14" s="35"/>
      <c r="M14" s="35"/>
      <c r="N14" s="1"/>
      <c r="O14" s="1"/>
      <c r="P14" s="1"/>
      <c r="Q14" s="1"/>
      <c r="R14" s="77"/>
      <c r="S14" s="1"/>
      <c r="U14" s="240"/>
      <c r="V14" s="200"/>
      <c r="W14" s="200"/>
      <c r="X14" s="200"/>
      <c r="Y14" s="200"/>
      <c r="Z14" s="200"/>
      <c r="AA14" s="200"/>
      <c r="AB14" s="200"/>
      <c r="AC14" s="200"/>
      <c r="AD14" s="1"/>
      <c r="AH14" s="1"/>
      <c r="AI14" s="1"/>
      <c r="AJ14" s="1"/>
      <c r="AK14" s="1"/>
      <c r="AL14" s="1"/>
      <c r="AM14" s="1"/>
      <c r="AN14" s="1"/>
      <c r="AO14" s="1"/>
    </row>
    <row r="15" spans="1:41" ht="12.95" customHeight="1" x14ac:dyDescent="0.2">
      <c r="A15" s="35"/>
      <c r="B15" s="1"/>
      <c r="C15" s="35"/>
      <c r="D15" s="1"/>
      <c r="E15" s="1"/>
      <c r="F15" s="1"/>
      <c r="G15" s="1"/>
      <c r="H15" s="77"/>
      <c r="I15" s="1"/>
      <c r="K15" s="35"/>
      <c r="L15" s="1"/>
      <c r="M15" s="35"/>
      <c r="N15" s="1"/>
      <c r="O15" s="1"/>
      <c r="P15" s="1"/>
      <c r="Q15" s="1"/>
      <c r="R15" s="77"/>
      <c r="S15" s="1"/>
      <c r="U15" s="172" t="s">
        <v>102</v>
      </c>
      <c r="V15" s="172"/>
      <c r="W15" s="172"/>
      <c r="X15" s="172"/>
      <c r="Y15" s="172"/>
      <c r="Z15" s="172"/>
      <c r="AA15" s="172"/>
      <c r="AB15" s="172"/>
      <c r="AC15" s="172"/>
      <c r="AD15" s="84"/>
      <c r="AH15" s="1"/>
      <c r="AI15" s="1"/>
      <c r="AJ15" s="1"/>
      <c r="AK15" s="1"/>
      <c r="AL15" s="1"/>
      <c r="AM15" s="1"/>
      <c r="AN15" s="1"/>
      <c r="AO15" s="1"/>
    </row>
    <row r="16" spans="1:41" ht="12.95" customHeight="1" x14ac:dyDescent="0.2">
      <c r="B16" s="207" t="s">
        <v>28</v>
      </c>
      <c r="C16" s="208"/>
      <c r="D16" s="207" t="s">
        <v>26</v>
      </c>
      <c r="E16" s="208"/>
      <c r="F16" s="207" t="s">
        <v>30</v>
      </c>
      <c r="G16" s="208"/>
      <c r="H16" s="208"/>
      <c r="I16" s="38"/>
      <c r="K16" s="239" t="s">
        <v>10</v>
      </c>
      <c r="L16" s="239"/>
      <c r="M16" s="239"/>
      <c r="N16" s="136">
        <f>untere_Klassengrenze</f>
        <v>0</v>
      </c>
      <c r="O16" s="35" t="s">
        <v>5</v>
      </c>
      <c r="P16" s="203" t="s">
        <v>43</v>
      </c>
      <c r="Q16" s="204"/>
      <c r="R16" s="204"/>
      <c r="S16" s="204"/>
      <c r="U16" s="173"/>
      <c r="V16" s="173"/>
      <c r="W16" s="173"/>
      <c r="X16" s="173"/>
      <c r="Y16" s="173"/>
      <c r="Z16" s="173"/>
      <c r="AA16" s="173"/>
      <c r="AB16" s="173"/>
      <c r="AC16" s="173"/>
      <c r="AD16" s="83"/>
      <c r="AH16" s="1"/>
      <c r="AI16" s="1"/>
      <c r="AJ16" s="1"/>
      <c r="AK16" s="1"/>
      <c r="AL16" s="1"/>
      <c r="AM16" s="1"/>
      <c r="AN16" s="1"/>
      <c r="AO16" s="1"/>
    </row>
    <row r="17" spans="2:47" ht="12.95" customHeight="1" x14ac:dyDescent="0.2">
      <c r="B17" s="209" t="s">
        <v>27</v>
      </c>
      <c r="C17" s="208"/>
      <c r="D17" s="209" t="s">
        <v>8</v>
      </c>
      <c r="E17" s="208"/>
      <c r="F17" s="207" t="s">
        <v>31</v>
      </c>
      <c r="G17" s="208"/>
      <c r="H17" s="208"/>
      <c r="I17" s="38"/>
      <c r="K17" s="239" t="s">
        <v>6</v>
      </c>
      <c r="L17" s="239"/>
      <c r="M17" s="239"/>
      <c r="N17" s="150">
        <v>5</v>
      </c>
      <c r="O17" s="35" t="s">
        <v>5</v>
      </c>
      <c r="P17" s="205" t="s">
        <v>44</v>
      </c>
      <c r="Q17" s="206"/>
      <c r="R17" s="206"/>
      <c r="S17" s="206"/>
      <c r="U17" s="173"/>
      <c r="V17" s="173"/>
      <c r="W17" s="173"/>
      <c r="X17" s="173"/>
      <c r="Y17" s="173"/>
      <c r="Z17" s="173"/>
      <c r="AA17" s="173"/>
      <c r="AB17" s="173"/>
      <c r="AC17" s="173"/>
      <c r="AD17" s="83"/>
      <c r="AH17" s="1"/>
      <c r="AI17" s="1"/>
      <c r="AJ17" s="1"/>
      <c r="AK17" s="1"/>
      <c r="AL17" s="1"/>
      <c r="AM17" s="1"/>
      <c r="AN17" s="1"/>
      <c r="AO17" s="1"/>
    </row>
    <row r="18" spans="2:47" ht="12.95" customHeight="1" x14ac:dyDescent="0.2">
      <c r="B18" s="227"/>
      <c r="C18" s="211"/>
      <c r="D18" s="228" t="s">
        <v>32</v>
      </c>
      <c r="E18" s="229"/>
      <c r="F18" s="230" t="s">
        <v>30</v>
      </c>
      <c r="G18" s="231"/>
      <c r="H18" s="211"/>
      <c r="I18" s="58"/>
      <c r="K18" s="239" t="s">
        <v>41</v>
      </c>
      <c r="L18" s="239"/>
      <c r="M18" s="239"/>
      <c r="N18" s="151">
        <v>0</v>
      </c>
      <c r="O18" s="35" t="s">
        <v>5</v>
      </c>
      <c r="P18" s="82" t="s">
        <v>45</v>
      </c>
      <c r="Q18" s="82"/>
      <c r="R18" s="82"/>
      <c r="S18" s="82"/>
      <c r="U18" s="173"/>
      <c r="V18" s="173"/>
      <c r="W18" s="173"/>
      <c r="X18" s="173"/>
      <c r="Y18" s="173"/>
      <c r="Z18" s="173"/>
      <c r="AA18" s="173"/>
      <c r="AB18" s="173"/>
      <c r="AC18" s="173"/>
      <c r="AD18" s="83"/>
      <c r="AH18" s="1"/>
      <c r="AI18" s="1"/>
      <c r="AJ18" s="1"/>
      <c r="AK18" s="1"/>
      <c r="AL18" s="1"/>
      <c r="AM18" s="1"/>
      <c r="AN18" s="1"/>
      <c r="AO18" s="1"/>
    </row>
    <row r="19" spans="2:47" ht="12.95" customHeight="1" thickBot="1" x14ac:dyDescent="0.25">
      <c r="B19" s="210">
        <v>1</v>
      </c>
      <c r="C19" s="211"/>
      <c r="D19" s="212"/>
      <c r="E19" s="213"/>
      <c r="F19" s="214"/>
      <c r="G19" s="217"/>
      <c r="H19" s="218"/>
      <c r="I19" s="57" t="s">
        <v>12</v>
      </c>
      <c r="K19" s="239" t="s">
        <v>9</v>
      </c>
      <c r="L19" s="239"/>
      <c r="M19" s="239"/>
      <c r="N19" s="48">
        <f>obere_Klassengrenze</f>
        <v>150</v>
      </c>
      <c r="O19" s="35" t="s">
        <v>5</v>
      </c>
      <c r="P19" s="1"/>
      <c r="Q19" s="1"/>
      <c r="R19" s="1"/>
      <c r="S19" s="1"/>
      <c r="U19" s="174"/>
      <c r="V19" s="174"/>
      <c r="W19" s="174"/>
      <c r="X19" s="174"/>
      <c r="Y19" s="174"/>
      <c r="Z19" s="174"/>
      <c r="AA19" s="174"/>
      <c r="AB19" s="174"/>
      <c r="AC19" s="174"/>
      <c r="AD19" s="137"/>
      <c r="AH19" s="1"/>
      <c r="AI19" s="1"/>
      <c r="AJ19" s="1"/>
      <c r="AK19" s="1"/>
      <c r="AL19" s="1"/>
      <c r="AM19" s="1"/>
      <c r="AN19" s="1"/>
      <c r="AO19" s="1"/>
    </row>
    <row r="20" spans="2:47" ht="12.95" customHeight="1" x14ac:dyDescent="0.2">
      <c r="B20" s="210">
        <v>2</v>
      </c>
      <c r="C20" s="211"/>
      <c r="D20" s="212"/>
      <c r="E20" s="213"/>
      <c r="F20" s="214"/>
      <c r="G20" s="217"/>
      <c r="H20" s="218"/>
      <c r="I20" s="57" t="e">
        <f>Ergebnis=0</f>
        <v>#VALUE!</v>
      </c>
      <c r="K20" s="1"/>
      <c r="L20" s="1"/>
      <c r="M20" s="1"/>
      <c r="N20" s="1"/>
      <c r="O20" s="1"/>
      <c r="P20" s="1"/>
      <c r="Q20" s="1"/>
      <c r="R20" s="1"/>
      <c r="S20" s="1"/>
      <c r="U20" s="174"/>
      <c r="V20" s="174"/>
      <c r="W20" s="174"/>
      <c r="X20" s="174"/>
      <c r="Y20" s="174"/>
      <c r="Z20" s="174"/>
      <c r="AA20" s="174"/>
      <c r="AB20" s="174"/>
      <c r="AC20" s="174"/>
      <c r="AD20" s="137"/>
      <c r="AE20" s="188" t="s">
        <v>91</v>
      </c>
      <c r="AF20" s="189"/>
      <c r="AH20" s="188" t="s">
        <v>92</v>
      </c>
      <c r="AI20" s="192"/>
      <c r="AJ20" s="193"/>
      <c r="AL20" s="188" t="s">
        <v>93</v>
      </c>
      <c r="AM20" s="192"/>
      <c r="AN20" s="197"/>
      <c r="AO20" s="193"/>
      <c r="AQ20" s="188" t="s">
        <v>94</v>
      </c>
      <c r="AR20" s="192"/>
      <c r="AS20" s="197"/>
      <c r="AT20" s="197"/>
      <c r="AU20" s="193"/>
    </row>
    <row r="21" spans="2:47" ht="12.95" customHeight="1" thickBot="1" x14ac:dyDescent="0.25">
      <c r="B21" s="210">
        <v>3</v>
      </c>
      <c r="C21" s="211"/>
      <c r="D21" s="212"/>
      <c r="E21" s="213"/>
      <c r="F21" s="214"/>
      <c r="G21" s="215"/>
      <c r="H21" s="216"/>
      <c r="I21" s="57" t="s">
        <v>11</v>
      </c>
      <c r="K21" s="76" t="s">
        <v>13</v>
      </c>
      <c r="L21" s="20" t="s">
        <v>14</v>
      </c>
      <c r="M21" s="247" t="s">
        <v>12</v>
      </c>
      <c r="N21" s="249" t="s">
        <v>11</v>
      </c>
      <c r="O21" s="21" t="s">
        <v>15</v>
      </c>
      <c r="P21" s="21" t="s">
        <v>16</v>
      </c>
      <c r="Q21" s="20" t="s">
        <v>17</v>
      </c>
      <c r="R21" s="22" t="s">
        <v>18</v>
      </c>
      <c r="S21" s="23" t="s">
        <v>7</v>
      </c>
      <c r="U21" s="174"/>
      <c r="V21" s="174"/>
      <c r="W21" s="174"/>
      <c r="X21" s="174"/>
      <c r="Y21" s="174"/>
      <c r="Z21" s="174"/>
      <c r="AA21" s="174"/>
      <c r="AB21" s="174"/>
      <c r="AC21" s="174"/>
      <c r="AD21" s="137"/>
      <c r="AE21" s="190"/>
      <c r="AF21" s="191"/>
      <c r="AH21" s="194"/>
      <c r="AI21" s="195"/>
      <c r="AJ21" s="196"/>
      <c r="AL21" s="194"/>
      <c r="AM21" s="195"/>
      <c r="AN21" s="198"/>
      <c r="AO21" s="196"/>
      <c r="AQ21" s="194"/>
      <c r="AR21" s="195"/>
      <c r="AS21" s="198"/>
      <c r="AT21" s="198"/>
      <c r="AU21" s="196"/>
    </row>
    <row r="22" spans="2:47" ht="12.95" customHeight="1" x14ac:dyDescent="0.2">
      <c r="B22" s="210">
        <v>4</v>
      </c>
      <c r="C22" s="211"/>
      <c r="D22" s="212"/>
      <c r="E22" s="213"/>
      <c r="F22" s="214"/>
      <c r="G22" s="217"/>
      <c r="H22" s="218"/>
      <c r="I22" s="57" t="e">
        <f>Ergebnis=1</f>
        <v>#VALUE!</v>
      </c>
      <c r="K22" s="24" t="s">
        <v>8</v>
      </c>
      <c r="L22" s="25" t="s">
        <v>8</v>
      </c>
      <c r="M22" s="248"/>
      <c r="N22" s="250"/>
      <c r="O22" s="26" t="s">
        <v>27</v>
      </c>
      <c r="P22" s="26" t="s">
        <v>27</v>
      </c>
      <c r="Q22" s="25" t="s">
        <v>8</v>
      </c>
      <c r="R22" s="27" t="s">
        <v>8</v>
      </c>
      <c r="S22" s="28" t="s">
        <v>8</v>
      </c>
      <c r="U22" s="174"/>
      <c r="V22" s="174"/>
      <c r="W22" s="174"/>
      <c r="X22" s="174"/>
      <c r="Y22" s="174"/>
      <c r="Z22" s="174"/>
      <c r="AA22" s="174"/>
      <c r="AB22" s="174"/>
      <c r="AC22" s="174"/>
      <c r="AD22" s="137"/>
      <c r="AE22" s="245" t="s">
        <v>100</v>
      </c>
      <c r="AF22" s="246"/>
      <c r="AH22" s="96" t="s">
        <v>84</v>
      </c>
      <c r="AI22" s="97" t="s">
        <v>84</v>
      </c>
      <c r="AJ22" s="98" t="s">
        <v>84</v>
      </c>
      <c r="AL22" s="102" t="s">
        <v>87</v>
      </c>
      <c r="AM22" s="103" t="s">
        <v>88</v>
      </c>
      <c r="AN22" s="103" t="s">
        <v>89</v>
      </c>
      <c r="AO22" s="104" t="s">
        <v>90</v>
      </c>
      <c r="AQ22" s="120"/>
      <c r="AR22" s="241" t="s">
        <v>96</v>
      </c>
      <c r="AS22" s="241" t="s">
        <v>97</v>
      </c>
      <c r="AT22" s="241" t="s">
        <v>99</v>
      </c>
      <c r="AU22" s="243" t="s">
        <v>98</v>
      </c>
    </row>
    <row r="23" spans="2:47" ht="12.95" customHeight="1" thickBot="1" x14ac:dyDescent="0.25">
      <c r="B23" s="210">
        <v>5</v>
      </c>
      <c r="C23" s="211"/>
      <c r="D23" s="212"/>
      <c r="E23" s="213"/>
      <c r="F23" s="214"/>
      <c r="G23" s="217"/>
      <c r="H23" s="218"/>
      <c r="I23" s="58"/>
      <c r="K23" s="29"/>
      <c r="L23" s="30"/>
      <c r="M23" s="31"/>
      <c r="N23" s="32"/>
      <c r="O23" s="31"/>
      <c r="P23" s="31"/>
      <c r="Q23" s="32"/>
      <c r="R23" s="33"/>
      <c r="S23" s="34"/>
      <c r="U23" s="174"/>
      <c r="V23" s="174"/>
      <c r="W23" s="174"/>
      <c r="X23" s="174"/>
      <c r="Y23" s="174"/>
      <c r="Z23" s="174"/>
      <c r="AA23" s="174"/>
      <c r="AB23" s="174"/>
      <c r="AC23" s="174"/>
      <c r="AD23" s="137"/>
      <c r="AE23" s="101" t="s">
        <v>12</v>
      </c>
      <c r="AF23" s="128" t="s">
        <v>11</v>
      </c>
      <c r="AH23" s="99" t="s">
        <v>85</v>
      </c>
      <c r="AI23" s="100" t="s">
        <v>86</v>
      </c>
      <c r="AJ23" s="117">
        <v>1</v>
      </c>
      <c r="AL23" s="105"/>
      <c r="AM23" s="106"/>
      <c r="AN23" s="106"/>
      <c r="AO23" s="107"/>
      <c r="AQ23" s="121" t="s">
        <v>95</v>
      </c>
      <c r="AR23" s="242"/>
      <c r="AS23" s="242"/>
      <c r="AT23" s="242"/>
      <c r="AU23" s="244"/>
    </row>
    <row r="24" spans="2:47" ht="12.95" customHeight="1" x14ac:dyDescent="0.2">
      <c r="B24" s="210">
        <v>6</v>
      </c>
      <c r="C24" s="211"/>
      <c r="D24" s="212"/>
      <c r="E24" s="213"/>
      <c r="F24" s="214"/>
      <c r="G24" s="217"/>
      <c r="H24" s="218"/>
      <c r="I24" s="58"/>
      <c r="K24" s="51">
        <f>IF((TRUNC(MIN(vgemessen)/Klassenbreite)*Klassenbreite+Offset)&gt;MAX(vgemessen)+Klassenbreite,"",TRUNC(MIN(vgemessen)/Klassenbreite)*Klassenbreite+Offset)</f>
        <v>0</v>
      </c>
      <c r="L24" s="52">
        <f t="shared" ref="L24:L53" si="0">K24+Klassenbreite</f>
        <v>5</v>
      </c>
      <c r="M24" s="138">
        <f t="shared" ref="M24:M53" si="1">DCOUNTA(Eingabe,"vgemessen",AE23:AE24)</f>
        <v>0</v>
      </c>
      <c r="N24" s="138">
        <f t="shared" ref="N24:N53" si="2">DCOUNTA(Eingabe,"vgemessen",AF23:AF24)</f>
        <v>0</v>
      </c>
      <c r="O24" s="18">
        <f t="shared" ref="O24:O43" si="3">IF(+M24+N24&gt;0,+N24/(M24+N24),O23)</f>
        <v>0</v>
      </c>
      <c r="P24" s="18">
        <f t="shared" ref="P24:P43" si="4">O24-O23</f>
        <v>0</v>
      </c>
      <c r="Q24" s="19">
        <f t="shared" ref="Q24:Q43" si="5">IF(+M23+N23&gt;0,K23,Q23)</f>
        <v>0</v>
      </c>
      <c r="R24" s="47">
        <f t="shared" ref="R24:R43" si="6">P24*((Q24+L24)/2)</f>
        <v>0</v>
      </c>
      <c r="S24" s="10">
        <f t="shared" ref="S24:S43" si="7">P24*(($R$55-(Q24+L24)/2)^2)</f>
        <v>0</v>
      </c>
      <c r="U24" s="174"/>
      <c r="V24" s="174"/>
      <c r="W24" s="174"/>
      <c r="X24" s="174"/>
      <c r="Y24" s="174"/>
      <c r="Z24" s="174"/>
      <c r="AA24" s="174"/>
      <c r="AB24" s="174"/>
      <c r="AC24" s="174"/>
      <c r="AD24" s="137"/>
      <c r="AE24" s="89" t="e">
        <f>AND(vgemessen&gt;=$K$24,vgemessen&lt;$L$24,Ergebnis=0)</f>
        <v>#VALUE!</v>
      </c>
      <c r="AF24" s="129" t="e">
        <f>AND(vgemessen&gt;=$K$24,vgemessen&lt;$L$24,Ergebnis=1)</f>
        <v>#VALUE!</v>
      </c>
      <c r="AH24" s="91">
        <f t="shared" ref="AH24:AH53" si="8">IF(OR(N24&lt;&gt;0,AH23=2),2,1)</f>
        <v>1</v>
      </c>
      <c r="AI24" s="80">
        <f t="shared" ref="AI24:AI53" si="9">IF(OR(M24&lt;&gt;0,AI25=2),2,3)</f>
        <v>3</v>
      </c>
      <c r="AJ24" s="92">
        <f>IF(AH24+AI24=3,1,IF(AH24+AI24=4,2,3))</f>
        <v>2</v>
      </c>
      <c r="AL24" s="108">
        <f t="shared" ref="AL24:AL53" si="10">M24+N24</f>
        <v>0</v>
      </c>
      <c r="AM24" s="109">
        <f>IF(AJ24=1,AM23+AL24,0)</f>
        <v>0</v>
      </c>
      <c r="AN24" s="109">
        <f>IF(AJ24=2,AN23+AL24,0)</f>
        <v>0</v>
      </c>
      <c r="AO24" s="110">
        <f>IF(AJ24=3,AO23+AL24,0)</f>
        <v>0</v>
      </c>
      <c r="AQ24" s="108" t="str">
        <f t="shared" ref="AQ24:AQ53" si="11">IF(OR(AJ24&lt;&gt;AJ23,AJ24&lt;&gt;AJ25),"zählt","")</f>
        <v>zählt</v>
      </c>
      <c r="AR24" s="122" t="str">
        <f t="shared" ref="AR24:AR39" si="12">IF(AND($AJ24=1,OR($AQ25="zählt",$AQ26="zählt")),AL24,"")</f>
        <v/>
      </c>
      <c r="AS24" s="122" t="str">
        <f t="shared" ref="AS24:AS40" si="13">IF(AND($AJ24=2,OR($AQ23="zählt",$AQ22="zählt")),AL24,"")</f>
        <v/>
      </c>
      <c r="AT24" s="122" t="str">
        <f t="shared" ref="AT24:AT47" si="14">IF(AND($AJ24=2,OR($AQ25="zählt",$AQ26="zählt")),AL24,"")</f>
        <v/>
      </c>
      <c r="AU24" s="123" t="str">
        <f t="shared" ref="AU24:AU50" si="15">IF(AND($AJ24=3,OR($AQ23="zählt",$AQ22="zählt")),AL24,"")</f>
        <v/>
      </c>
    </row>
    <row r="25" spans="2:47" ht="12.95" customHeight="1" x14ac:dyDescent="0.2">
      <c r="B25" s="210">
        <v>7</v>
      </c>
      <c r="C25" s="211"/>
      <c r="D25" s="212"/>
      <c r="E25" s="213"/>
      <c r="F25" s="214"/>
      <c r="G25" s="217"/>
      <c r="H25" s="218"/>
      <c r="K25" s="51">
        <f t="shared" ref="K25:K53" si="16">L24</f>
        <v>5</v>
      </c>
      <c r="L25" s="52">
        <f t="shared" si="0"/>
        <v>10</v>
      </c>
      <c r="M25" s="138">
        <f t="shared" si="1"/>
        <v>0</v>
      </c>
      <c r="N25" s="138">
        <f t="shared" si="2"/>
        <v>0</v>
      </c>
      <c r="O25" s="18">
        <f t="shared" si="3"/>
        <v>0</v>
      </c>
      <c r="P25" s="18">
        <f t="shared" si="4"/>
        <v>0</v>
      </c>
      <c r="Q25" s="19">
        <f t="shared" si="5"/>
        <v>0</v>
      </c>
      <c r="R25" s="47">
        <f t="shared" si="6"/>
        <v>0</v>
      </c>
      <c r="S25" s="10">
        <f t="shared" si="7"/>
        <v>0</v>
      </c>
      <c r="U25" s="174"/>
      <c r="V25" s="174"/>
      <c r="W25" s="174"/>
      <c r="X25" s="174"/>
      <c r="Y25" s="174"/>
      <c r="Z25" s="174"/>
      <c r="AA25" s="174"/>
      <c r="AB25" s="174"/>
      <c r="AC25" s="174"/>
      <c r="AD25" s="137"/>
      <c r="AE25" s="89" t="e">
        <f>AND(vgemessen&gt;=$K$25,vgemessen&lt;$L$25,Ergebnis=0)</f>
        <v>#VALUE!</v>
      </c>
      <c r="AF25" s="129" t="e">
        <f>AND(vgemessen&gt;=$K$25,vgemessen&lt;$L$25,Ergebnis=1)</f>
        <v>#VALUE!</v>
      </c>
      <c r="AH25" s="91">
        <f t="shared" si="8"/>
        <v>1</v>
      </c>
      <c r="AI25" s="80">
        <f t="shared" si="9"/>
        <v>3</v>
      </c>
      <c r="AJ25" s="92">
        <f t="shared" ref="AJ25:AJ53" si="17">IF(AH25+AI25=3,1,IF(AH25+AI25=4,2,3))</f>
        <v>2</v>
      </c>
      <c r="AL25" s="111">
        <f t="shared" si="10"/>
        <v>0</v>
      </c>
      <c r="AM25" s="112">
        <f t="shared" ref="AM25:AM53" si="18">IF(AJ25=1,AM24+AL25,0)</f>
        <v>0</v>
      </c>
      <c r="AN25" s="112">
        <f t="shared" ref="AN25:AN53" si="19">IF(AJ25=2,AN24+AL25,0)</f>
        <v>0</v>
      </c>
      <c r="AO25" s="113">
        <f t="shared" ref="AO25:AO53" si="20">IF(AJ25=3,AO24+AL25,0)</f>
        <v>0</v>
      </c>
      <c r="AQ25" s="111" t="str">
        <f t="shared" si="11"/>
        <v/>
      </c>
      <c r="AR25" s="124" t="str">
        <f t="shared" si="12"/>
        <v/>
      </c>
      <c r="AS25" s="124">
        <f t="shared" si="13"/>
        <v>0</v>
      </c>
      <c r="AT25" s="124" t="str">
        <f t="shared" si="14"/>
        <v/>
      </c>
      <c r="AU25" s="125" t="str">
        <f t="shared" si="15"/>
        <v/>
      </c>
    </row>
    <row r="26" spans="2:47" ht="12.95" customHeight="1" x14ac:dyDescent="0.2">
      <c r="B26" s="210">
        <v>8</v>
      </c>
      <c r="C26" s="211"/>
      <c r="D26" s="212"/>
      <c r="E26" s="213"/>
      <c r="F26" s="214"/>
      <c r="G26" s="217"/>
      <c r="H26" s="218"/>
      <c r="K26" s="51">
        <f t="shared" si="16"/>
        <v>10</v>
      </c>
      <c r="L26" s="52">
        <f t="shared" si="0"/>
        <v>15</v>
      </c>
      <c r="M26" s="138">
        <f t="shared" si="1"/>
        <v>0</v>
      </c>
      <c r="N26" s="138">
        <f t="shared" si="2"/>
        <v>0</v>
      </c>
      <c r="O26" s="18">
        <f t="shared" si="3"/>
        <v>0</v>
      </c>
      <c r="P26" s="18">
        <f t="shared" si="4"/>
        <v>0</v>
      </c>
      <c r="Q26" s="19">
        <f t="shared" si="5"/>
        <v>0</v>
      </c>
      <c r="R26" s="47">
        <f t="shared" si="6"/>
        <v>0</v>
      </c>
      <c r="S26" s="10">
        <f t="shared" si="7"/>
        <v>0</v>
      </c>
      <c r="U26" s="199"/>
      <c r="V26" s="199"/>
      <c r="W26" s="199"/>
      <c r="X26" s="199"/>
      <c r="Y26" s="199"/>
      <c r="Z26" s="199"/>
      <c r="AA26" s="199"/>
      <c r="AB26" s="199"/>
      <c r="AC26" s="199"/>
      <c r="AD26" s="139"/>
      <c r="AE26" s="89" t="e">
        <f>AND(vgemessen&gt;=$K$26,vgemessen&lt;$L$26,Ergebnis=0)</f>
        <v>#VALUE!</v>
      </c>
      <c r="AF26" s="129" t="e">
        <f>AND(vgemessen&gt;=$K$26,vgemessen&lt;$L$26,Ergebnis=1)</f>
        <v>#VALUE!</v>
      </c>
      <c r="AH26" s="91">
        <f t="shared" si="8"/>
        <v>1</v>
      </c>
      <c r="AI26" s="80">
        <f t="shared" si="9"/>
        <v>3</v>
      </c>
      <c r="AJ26" s="92">
        <f t="shared" si="17"/>
        <v>2</v>
      </c>
      <c r="AL26" s="111">
        <f t="shared" si="10"/>
        <v>0</v>
      </c>
      <c r="AM26" s="112">
        <f t="shared" si="18"/>
        <v>0</v>
      </c>
      <c r="AN26" s="112">
        <f t="shared" si="19"/>
        <v>0</v>
      </c>
      <c r="AO26" s="113">
        <f t="shared" si="20"/>
        <v>0</v>
      </c>
      <c r="AQ26" s="111" t="str">
        <f t="shared" si="11"/>
        <v/>
      </c>
      <c r="AR26" s="124" t="str">
        <f t="shared" si="12"/>
        <v/>
      </c>
      <c r="AS26" s="124">
        <f t="shared" si="13"/>
        <v>0</v>
      </c>
      <c r="AT26" s="124" t="str">
        <f t="shared" si="14"/>
        <v/>
      </c>
      <c r="AU26" s="125" t="str">
        <f t="shared" si="15"/>
        <v/>
      </c>
    </row>
    <row r="27" spans="2:47" ht="12.95" customHeight="1" x14ac:dyDescent="0.2">
      <c r="B27" s="210">
        <v>9</v>
      </c>
      <c r="C27" s="211"/>
      <c r="D27" s="212"/>
      <c r="E27" s="213"/>
      <c r="F27" s="214"/>
      <c r="G27" s="217"/>
      <c r="H27" s="218"/>
      <c r="I27" s="38"/>
      <c r="K27" s="51">
        <f t="shared" si="16"/>
        <v>15</v>
      </c>
      <c r="L27" s="52">
        <f t="shared" si="0"/>
        <v>20</v>
      </c>
      <c r="M27" s="138">
        <f t="shared" si="1"/>
        <v>0</v>
      </c>
      <c r="N27" s="138">
        <f t="shared" si="2"/>
        <v>0</v>
      </c>
      <c r="O27" s="18">
        <f t="shared" si="3"/>
        <v>0</v>
      </c>
      <c r="P27" s="18">
        <f t="shared" si="4"/>
        <v>0</v>
      </c>
      <c r="Q27" s="19">
        <f t="shared" si="5"/>
        <v>0</v>
      </c>
      <c r="R27" s="47">
        <f t="shared" si="6"/>
        <v>0</v>
      </c>
      <c r="S27" s="10">
        <f t="shared" si="7"/>
        <v>0</v>
      </c>
      <c r="U27" s="200"/>
      <c r="V27" s="200"/>
      <c r="W27" s="200"/>
      <c r="X27" s="200"/>
      <c r="Y27" s="200"/>
      <c r="Z27" s="200"/>
      <c r="AA27" s="200"/>
      <c r="AB27" s="200"/>
      <c r="AC27" s="200"/>
      <c r="AD27" s="83"/>
      <c r="AE27" s="89" t="e">
        <f>AND(vgemessen&gt;=$K$27,vgemessen&lt;$L$27,Ergebnis=0)</f>
        <v>#VALUE!</v>
      </c>
      <c r="AF27" s="129" t="e">
        <f>AND(vgemessen&gt;=$K$27,vgemessen&lt;$L$27,Ergebnis=1)</f>
        <v>#VALUE!</v>
      </c>
      <c r="AH27" s="91">
        <f t="shared" si="8"/>
        <v>1</v>
      </c>
      <c r="AI27" s="80">
        <f t="shared" si="9"/>
        <v>3</v>
      </c>
      <c r="AJ27" s="92">
        <f t="shared" si="17"/>
        <v>2</v>
      </c>
      <c r="AL27" s="111">
        <f t="shared" si="10"/>
        <v>0</v>
      </c>
      <c r="AM27" s="112">
        <f t="shared" si="18"/>
        <v>0</v>
      </c>
      <c r="AN27" s="112">
        <f t="shared" si="19"/>
        <v>0</v>
      </c>
      <c r="AO27" s="113">
        <f t="shared" si="20"/>
        <v>0</v>
      </c>
      <c r="AQ27" s="111" t="str">
        <f t="shared" si="11"/>
        <v/>
      </c>
      <c r="AR27" s="124" t="str">
        <f t="shared" si="12"/>
        <v/>
      </c>
      <c r="AS27" s="124" t="str">
        <f t="shared" si="13"/>
        <v/>
      </c>
      <c r="AT27" s="124" t="str">
        <f t="shared" si="14"/>
        <v/>
      </c>
      <c r="AU27" s="125" t="str">
        <f t="shared" si="15"/>
        <v/>
      </c>
    </row>
    <row r="28" spans="2:47" ht="12.95" customHeight="1" x14ac:dyDescent="0.2">
      <c r="B28" s="210">
        <v>10</v>
      </c>
      <c r="C28" s="211"/>
      <c r="D28" s="212"/>
      <c r="E28" s="213"/>
      <c r="F28" s="214"/>
      <c r="G28" s="217"/>
      <c r="H28" s="218"/>
      <c r="I28" s="38"/>
      <c r="K28" s="51">
        <f t="shared" si="16"/>
        <v>20</v>
      </c>
      <c r="L28" s="52">
        <f t="shared" si="0"/>
        <v>25</v>
      </c>
      <c r="M28" s="138">
        <f t="shared" si="1"/>
        <v>0</v>
      </c>
      <c r="N28" s="138">
        <f t="shared" si="2"/>
        <v>0</v>
      </c>
      <c r="O28" s="18">
        <f t="shared" si="3"/>
        <v>0</v>
      </c>
      <c r="P28" s="18">
        <f t="shared" si="4"/>
        <v>0</v>
      </c>
      <c r="Q28" s="19">
        <f t="shared" si="5"/>
        <v>0</v>
      </c>
      <c r="R28" s="47">
        <f t="shared" si="6"/>
        <v>0</v>
      </c>
      <c r="S28" s="10">
        <f t="shared" si="7"/>
        <v>0</v>
      </c>
      <c r="U28" s="173" t="s">
        <v>52</v>
      </c>
      <c r="V28" s="173"/>
      <c r="W28" s="173"/>
      <c r="X28" s="173"/>
      <c r="Y28" s="173"/>
      <c r="Z28" s="173"/>
      <c r="AA28" s="173"/>
      <c r="AB28" s="173"/>
      <c r="AC28" s="173"/>
      <c r="AD28" s="83"/>
      <c r="AE28" s="89" t="e">
        <f>AND(vgemessen&gt;=$K$28,vgemessen&lt;$L$28,Ergebnis=0)</f>
        <v>#VALUE!</v>
      </c>
      <c r="AF28" s="129" t="e">
        <f>AND(vgemessen&gt;=$K$28,vgemessen&lt;$L$28,Ergebnis=1)</f>
        <v>#VALUE!</v>
      </c>
      <c r="AH28" s="91">
        <f t="shared" si="8"/>
        <v>1</v>
      </c>
      <c r="AI28" s="80">
        <f t="shared" si="9"/>
        <v>3</v>
      </c>
      <c r="AJ28" s="92">
        <f t="shared" si="17"/>
        <v>2</v>
      </c>
      <c r="AL28" s="111">
        <f t="shared" si="10"/>
        <v>0</v>
      </c>
      <c r="AM28" s="112">
        <f t="shared" si="18"/>
        <v>0</v>
      </c>
      <c r="AN28" s="112">
        <f t="shared" si="19"/>
        <v>0</v>
      </c>
      <c r="AO28" s="113">
        <f t="shared" si="20"/>
        <v>0</v>
      </c>
      <c r="AQ28" s="111" t="str">
        <f t="shared" si="11"/>
        <v/>
      </c>
      <c r="AR28" s="124" t="str">
        <f t="shared" si="12"/>
        <v/>
      </c>
      <c r="AS28" s="124" t="str">
        <f t="shared" si="13"/>
        <v/>
      </c>
      <c r="AT28" s="124" t="str">
        <f t="shared" si="14"/>
        <v/>
      </c>
      <c r="AU28" s="125" t="str">
        <f t="shared" si="15"/>
        <v/>
      </c>
    </row>
    <row r="29" spans="2:47" ht="12.95" customHeight="1" x14ac:dyDescent="0.2">
      <c r="B29" s="210">
        <v>11</v>
      </c>
      <c r="C29" s="211"/>
      <c r="D29" s="212"/>
      <c r="E29" s="213"/>
      <c r="F29" s="214"/>
      <c r="G29" s="217"/>
      <c r="H29" s="218"/>
      <c r="I29" s="38"/>
      <c r="K29" s="51">
        <f t="shared" si="16"/>
        <v>25</v>
      </c>
      <c r="L29" s="52">
        <f t="shared" si="0"/>
        <v>30</v>
      </c>
      <c r="M29" s="138">
        <f t="shared" si="1"/>
        <v>0</v>
      </c>
      <c r="N29" s="138">
        <f t="shared" si="2"/>
        <v>0</v>
      </c>
      <c r="O29" s="18">
        <f t="shared" si="3"/>
        <v>0</v>
      </c>
      <c r="P29" s="18">
        <f t="shared" si="4"/>
        <v>0</v>
      </c>
      <c r="Q29" s="19">
        <f t="shared" si="5"/>
        <v>0</v>
      </c>
      <c r="R29" s="47">
        <f t="shared" si="6"/>
        <v>0</v>
      </c>
      <c r="S29" s="10">
        <f t="shared" si="7"/>
        <v>0</v>
      </c>
      <c r="U29" s="173"/>
      <c r="V29" s="173"/>
      <c r="W29" s="173"/>
      <c r="X29" s="173"/>
      <c r="Y29" s="173"/>
      <c r="Z29" s="173"/>
      <c r="AA29" s="173"/>
      <c r="AB29" s="173"/>
      <c r="AC29" s="173"/>
      <c r="AD29" s="83"/>
      <c r="AE29" s="89" t="e">
        <f>AND(vgemessen&gt;=$K$29,vgemessen&lt;$L$29,Ergebnis=0)</f>
        <v>#VALUE!</v>
      </c>
      <c r="AF29" s="129" t="e">
        <f>AND(vgemessen&gt;=$K$29,vgemessen&lt;$L$29,Ergebnis=1)</f>
        <v>#VALUE!</v>
      </c>
      <c r="AH29" s="91">
        <f t="shared" si="8"/>
        <v>1</v>
      </c>
      <c r="AI29" s="80">
        <f t="shared" si="9"/>
        <v>3</v>
      </c>
      <c r="AJ29" s="92">
        <f t="shared" si="17"/>
        <v>2</v>
      </c>
      <c r="AL29" s="111">
        <f t="shared" si="10"/>
        <v>0</v>
      </c>
      <c r="AM29" s="112">
        <f t="shared" si="18"/>
        <v>0</v>
      </c>
      <c r="AN29" s="112">
        <f t="shared" si="19"/>
        <v>0</v>
      </c>
      <c r="AO29" s="113">
        <f t="shared" si="20"/>
        <v>0</v>
      </c>
      <c r="AQ29" s="111" t="str">
        <f t="shared" si="11"/>
        <v/>
      </c>
      <c r="AR29" s="124" t="str">
        <f t="shared" si="12"/>
        <v/>
      </c>
      <c r="AS29" s="124" t="str">
        <f t="shared" si="13"/>
        <v/>
      </c>
      <c r="AT29" s="124" t="str">
        <f t="shared" si="14"/>
        <v/>
      </c>
      <c r="AU29" s="125" t="str">
        <f t="shared" si="15"/>
        <v/>
      </c>
    </row>
    <row r="30" spans="2:47" ht="12.95" customHeight="1" x14ac:dyDescent="0.2">
      <c r="B30" s="210">
        <v>12</v>
      </c>
      <c r="C30" s="211"/>
      <c r="D30" s="212"/>
      <c r="E30" s="213"/>
      <c r="F30" s="214"/>
      <c r="G30" s="217"/>
      <c r="H30" s="218"/>
      <c r="I30" s="38"/>
      <c r="K30" s="51">
        <f t="shared" si="16"/>
        <v>30</v>
      </c>
      <c r="L30" s="52">
        <f t="shared" si="0"/>
        <v>35</v>
      </c>
      <c r="M30" s="138">
        <f t="shared" si="1"/>
        <v>0</v>
      </c>
      <c r="N30" s="138">
        <f t="shared" si="2"/>
        <v>0</v>
      </c>
      <c r="O30" s="18">
        <f t="shared" si="3"/>
        <v>0</v>
      </c>
      <c r="P30" s="18">
        <f t="shared" si="4"/>
        <v>0</v>
      </c>
      <c r="Q30" s="19">
        <f t="shared" si="5"/>
        <v>0</v>
      </c>
      <c r="R30" s="47">
        <f t="shared" si="6"/>
        <v>0</v>
      </c>
      <c r="S30" s="10">
        <f t="shared" si="7"/>
        <v>0</v>
      </c>
      <c r="U30" s="173"/>
      <c r="V30" s="173"/>
      <c r="W30" s="173"/>
      <c r="X30" s="173"/>
      <c r="Y30" s="173"/>
      <c r="Z30" s="173"/>
      <c r="AA30" s="173"/>
      <c r="AB30" s="173"/>
      <c r="AC30" s="173"/>
      <c r="AD30" s="83"/>
      <c r="AE30" s="89" t="e">
        <f>AND(vgemessen&gt;=$K$30,vgemessen&lt;$L$30,Ergebnis=0)</f>
        <v>#VALUE!</v>
      </c>
      <c r="AF30" s="129" t="e">
        <f>AND(vgemessen&gt;=$K$30,vgemessen&lt;$L$30,Ergebnis=1)</f>
        <v>#VALUE!</v>
      </c>
      <c r="AH30" s="91">
        <f t="shared" si="8"/>
        <v>1</v>
      </c>
      <c r="AI30" s="80">
        <f t="shared" si="9"/>
        <v>3</v>
      </c>
      <c r="AJ30" s="92">
        <f t="shared" si="17"/>
        <v>2</v>
      </c>
      <c r="AL30" s="111">
        <f t="shared" si="10"/>
        <v>0</v>
      </c>
      <c r="AM30" s="112">
        <f t="shared" si="18"/>
        <v>0</v>
      </c>
      <c r="AN30" s="112">
        <f t="shared" si="19"/>
        <v>0</v>
      </c>
      <c r="AO30" s="113">
        <f t="shared" si="20"/>
        <v>0</v>
      </c>
      <c r="AQ30" s="111" t="str">
        <f t="shared" si="11"/>
        <v/>
      </c>
      <c r="AR30" s="124" t="str">
        <f t="shared" si="12"/>
        <v/>
      </c>
      <c r="AS30" s="124" t="str">
        <f t="shared" si="13"/>
        <v/>
      </c>
      <c r="AT30" s="124" t="str">
        <f t="shared" si="14"/>
        <v/>
      </c>
      <c r="AU30" s="125" t="str">
        <f t="shared" si="15"/>
        <v/>
      </c>
    </row>
    <row r="31" spans="2:47" ht="12.95" customHeight="1" x14ac:dyDescent="0.2">
      <c r="B31" s="210">
        <v>13</v>
      </c>
      <c r="C31" s="211"/>
      <c r="D31" s="212"/>
      <c r="E31" s="213"/>
      <c r="F31" s="214"/>
      <c r="G31" s="217"/>
      <c r="H31" s="218"/>
      <c r="I31" s="38"/>
      <c r="K31" s="51">
        <f t="shared" si="16"/>
        <v>35</v>
      </c>
      <c r="L31" s="52">
        <f t="shared" si="0"/>
        <v>40</v>
      </c>
      <c r="M31" s="138">
        <f t="shared" si="1"/>
        <v>0</v>
      </c>
      <c r="N31" s="138">
        <f t="shared" si="2"/>
        <v>0</v>
      </c>
      <c r="O31" s="18">
        <f t="shared" si="3"/>
        <v>0</v>
      </c>
      <c r="P31" s="18">
        <f t="shared" si="4"/>
        <v>0</v>
      </c>
      <c r="Q31" s="19">
        <f t="shared" si="5"/>
        <v>0</v>
      </c>
      <c r="R31" s="47">
        <f t="shared" si="6"/>
        <v>0</v>
      </c>
      <c r="S31" s="10">
        <f t="shared" si="7"/>
        <v>0</v>
      </c>
      <c r="U31" s="173"/>
      <c r="V31" s="200"/>
      <c r="W31" s="200"/>
      <c r="X31" s="200"/>
      <c r="Y31" s="200"/>
      <c r="Z31" s="200"/>
      <c r="AA31" s="200"/>
      <c r="AB31" s="200"/>
      <c r="AC31" s="200"/>
      <c r="AD31" s="131"/>
      <c r="AE31" s="89" t="e">
        <f>AND(vgemessen&gt;=$K$31,vgemessen&lt;$L$31,Ergebnis=0)</f>
        <v>#VALUE!</v>
      </c>
      <c r="AF31" s="129" t="e">
        <f>AND(vgemessen&gt;=$K$31,vgemessen&lt;$L$31,Ergebnis=1)</f>
        <v>#VALUE!</v>
      </c>
      <c r="AH31" s="91">
        <f t="shared" si="8"/>
        <v>1</v>
      </c>
      <c r="AI31" s="80">
        <f t="shared" si="9"/>
        <v>3</v>
      </c>
      <c r="AJ31" s="92">
        <f t="shared" si="17"/>
        <v>2</v>
      </c>
      <c r="AL31" s="111">
        <f t="shared" si="10"/>
        <v>0</v>
      </c>
      <c r="AM31" s="112">
        <f t="shared" si="18"/>
        <v>0</v>
      </c>
      <c r="AN31" s="112">
        <f t="shared" si="19"/>
        <v>0</v>
      </c>
      <c r="AO31" s="113">
        <f t="shared" si="20"/>
        <v>0</v>
      </c>
      <c r="AQ31" s="111" t="str">
        <f t="shared" si="11"/>
        <v/>
      </c>
      <c r="AR31" s="124" t="str">
        <f t="shared" si="12"/>
        <v/>
      </c>
      <c r="AS31" s="124" t="str">
        <f t="shared" si="13"/>
        <v/>
      </c>
      <c r="AT31" s="124" t="str">
        <f t="shared" si="14"/>
        <v/>
      </c>
      <c r="AU31" s="125" t="str">
        <f t="shared" si="15"/>
        <v/>
      </c>
    </row>
    <row r="32" spans="2:47" ht="12.95" customHeight="1" x14ac:dyDescent="0.2">
      <c r="B32" s="210">
        <v>14</v>
      </c>
      <c r="C32" s="211"/>
      <c r="D32" s="212"/>
      <c r="E32" s="213"/>
      <c r="F32" s="214"/>
      <c r="G32" s="217"/>
      <c r="H32" s="218"/>
      <c r="I32" s="38"/>
      <c r="K32" s="51">
        <f t="shared" si="16"/>
        <v>40</v>
      </c>
      <c r="L32" s="52">
        <f t="shared" si="0"/>
        <v>45</v>
      </c>
      <c r="M32" s="138">
        <f t="shared" si="1"/>
        <v>0</v>
      </c>
      <c r="N32" s="138">
        <f t="shared" si="2"/>
        <v>0</v>
      </c>
      <c r="O32" s="18">
        <f t="shared" si="3"/>
        <v>0</v>
      </c>
      <c r="P32" s="18">
        <f t="shared" si="4"/>
        <v>0</v>
      </c>
      <c r="Q32" s="19">
        <f t="shared" si="5"/>
        <v>0</v>
      </c>
      <c r="R32" s="47">
        <f t="shared" si="6"/>
        <v>0</v>
      </c>
      <c r="S32" s="10">
        <f t="shared" si="7"/>
        <v>0</v>
      </c>
      <c r="U32" s="201" t="s">
        <v>50</v>
      </c>
      <c r="V32" s="238"/>
      <c r="W32" s="238"/>
      <c r="X32" s="238"/>
      <c r="Y32" s="238"/>
      <c r="Z32" s="238"/>
      <c r="AA32" s="238"/>
      <c r="AB32" s="238"/>
      <c r="AC32" s="238"/>
      <c r="AD32" s="131"/>
      <c r="AE32" s="89" t="e">
        <f>AND(vgemessen&gt;=$K$32,vgemessen&lt;$L$32,Ergebnis=0)</f>
        <v>#VALUE!</v>
      </c>
      <c r="AF32" s="129" t="e">
        <f>AND(vgemessen&gt;=$K$32,vgemessen&lt;$L$32,Ergebnis=1)</f>
        <v>#VALUE!</v>
      </c>
      <c r="AH32" s="91">
        <f t="shared" si="8"/>
        <v>1</v>
      </c>
      <c r="AI32" s="80">
        <f t="shared" si="9"/>
        <v>3</v>
      </c>
      <c r="AJ32" s="92">
        <f t="shared" si="17"/>
        <v>2</v>
      </c>
      <c r="AL32" s="111">
        <f t="shared" si="10"/>
        <v>0</v>
      </c>
      <c r="AM32" s="112">
        <f t="shared" si="18"/>
        <v>0</v>
      </c>
      <c r="AN32" s="112">
        <f t="shared" si="19"/>
        <v>0</v>
      </c>
      <c r="AO32" s="113">
        <f t="shared" si="20"/>
        <v>0</v>
      </c>
      <c r="AQ32" s="111" t="str">
        <f t="shared" si="11"/>
        <v/>
      </c>
      <c r="AR32" s="124" t="str">
        <f t="shared" si="12"/>
        <v/>
      </c>
      <c r="AS32" s="124" t="str">
        <f t="shared" si="13"/>
        <v/>
      </c>
      <c r="AT32" s="124" t="str">
        <f t="shared" si="14"/>
        <v/>
      </c>
      <c r="AU32" s="125" t="str">
        <f t="shared" si="15"/>
        <v/>
      </c>
    </row>
    <row r="33" spans="2:47" ht="12.95" customHeight="1" x14ac:dyDescent="0.2">
      <c r="B33" s="210">
        <v>15</v>
      </c>
      <c r="C33" s="211"/>
      <c r="D33" s="212"/>
      <c r="E33" s="213"/>
      <c r="F33" s="214"/>
      <c r="G33" s="217"/>
      <c r="H33" s="218"/>
      <c r="I33" s="38"/>
      <c r="K33" s="51">
        <f t="shared" si="16"/>
        <v>45</v>
      </c>
      <c r="L33" s="52">
        <f t="shared" si="0"/>
        <v>50</v>
      </c>
      <c r="M33" s="138">
        <f t="shared" si="1"/>
        <v>0</v>
      </c>
      <c r="N33" s="138">
        <f t="shared" si="2"/>
        <v>0</v>
      </c>
      <c r="O33" s="18">
        <f t="shared" si="3"/>
        <v>0</v>
      </c>
      <c r="P33" s="18">
        <f t="shared" si="4"/>
        <v>0</v>
      </c>
      <c r="Q33" s="19">
        <f t="shared" si="5"/>
        <v>0</v>
      </c>
      <c r="R33" s="47">
        <f t="shared" si="6"/>
        <v>0</v>
      </c>
      <c r="S33" s="10">
        <f t="shared" si="7"/>
        <v>0</v>
      </c>
      <c r="U33" s="201"/>
      <c r="V33" s="200"/>
      <c r="W33" s="200"/>
      <c r="X33" s="200"/>
      <c r="Y33" s="200"/>
      <c r="Z33" s="200"/>
      <c r="AA33" s="200"/>
      <c r="AB33" s="200"/>
      <c r="AC33" s="200"/>
      <c r="AD33" s="119"/>
      <c r="AE33" s="89" t="e">
        <f>AND(vgemessen&gt;=$K$33,vgemessen&lt;$L$33,Ergebnis=0)</f>
        <v>#VALUE!</v>
      </c>
      <c r="AF33" s="129" t="e">
        <f>AND(vgemessen&gt;=$K$33,vgemessen&lt;$L$33,Ergebnis=1)</f>
        <v>#VALUE!</v>
      </c>
      <c r="AH33" s="91">
        <f t="shared" si="8"/>
        <v>1</v>
      </c>
      <c r="AI33" s="80">
        <f t="shared" si="9"/>
        <v>3</v>
      </c>
      <c r="AJ33" s="92">
        <f t="shared" si="17"/>
        <v>2</v>
      </c>
      <c r="AL33" s="111">
        <f t="shared" si="10"/>
        <v>0</v>
      </c>
      <c r="AM33" s="112">
        <f t="shared" si="18"/>
        <v>0</v>
      </c>
      <c r="AN33" s="112">
        <f t="shared" si="19"/>
        <v>0</v>
      </c>
      <c r="AO33" s="113">
        <f t="shared" si="20"/>
        <v>0</v>
      </c>
      <c r="AQ33" s="111" t="str">
        <f t="shared" si="11"/>
        <v/>
      </c>
      <c r="AR33" s="124" t="str">
        <f t="shared" si="12"/>
        <v/>
      </c>
      <c r="AS33" s="124" t="str">
        <f t="shared" si="13"/>
        <v/>
      </c>
      <c r="AT33" s="124" t="str">
        <f t="shared" si="14"/>
        <v/>
      </c>
      <c r="AU33" s="125" t="str">
        <f t="shared" si="15"/>
        <v/>
      </c>
    </row>
    <row r="34" spans="2:47" ht="12.95" customHeight="1" x14ac:dyDescent="0.2">
      <c r="B34" s="210">
        <v>16</v>
      </c>
      <c r="C34" s="211"/>
      <c r="D34" s="212"/>
      <c r="E34" s="213"/>
      <c r="F34" s="214"/>
      <c r="G34" s="217"/>
      <c r="H34" s="218"/>
      <c r="I34" s="38"/>
      <c r="K34" s="51">
        <f t="shared" si="16"/>
        <v>50</v>
      </c>
      <c r="L34" s="52">
        <f t="shared" si="0"/>
        <v>55</v>
      </c>
      <c r="M34" s="138">
        <f t="shared" si="1"/>
        <v>0</v>
      </c>
      <c r="N34" s="138">
        <f t="shared" si="2"/>
        <v>0</v>
      </c>
      <c r="O34" s="18">
        <f t="shared" si="3"/>
        <v>0</v>
      </c>
      <c r="P34" s="18">
        <f t="shared" si="4"/>
        <v>0</v>
      </c>
      <c r="Q34" s="19">
        <f t="shared" si="5"/>
        <v>0</v>
      </c>
      <c r="R34" s="47">
        <f t="shared" si="6"/>
        <v>0</v>
      </c>
      <c r="S34" s="10">
        <f t="shared" si="7"/>
        <v>0</v>
      </c>
      <c r="U34" s="180" t="s">
        <v>54</v>
      </c>
      <c r="V34" s="180"/>
      <c r="W34" s="180"/>
      <c r="X34" s="180"/>
      <c r="Y34" s="87"/>
      <c r="Z34" s="81" t="s">
        <v>53</v>
      </c>
      <c r="AA34" s="87"/>
      <c r="AB34" s="184" t="str">
        <f>IF(Y35&lt;0.0001,"ACHTUNG! Bedenklicher Bereich!",IF(Y35&lt;0.001,"ACHTUNG! Fragwürdiger Bereich!",""))</f>
        <v/>
      </c>
      <c r="AC34" s="185"/>
      <c r="AD34" s="119"/>
      <c r="AE34" s="89" t="e">
        <f>AND(vgemessen&gt;=$K$34,vgemessen&lt;$L$34,Ergebnis=0)</f>
        <v>#VALUE!</v>
      </c>
      <c r="AF34" s="129" t="e">
        <f>AND(vgemessen&gt;=$K$34,vgemessen&lt;$L$34,Ergebnis=1)</f>
        <v>#VALUE!</v>
      </c>
      <c r="AH34" s="91">
        <f t="shared" si="8"/>
        <v>1</v>
      </c>
      <c r="AI34" s="80">
        <f t="shared" si="9"/>
        <v>3</v>
      </c>
      <c r="AJ34" s="92">
        <f t="shared" si="17"/>
        <v>2</v>
      </c>
      <c r="AL34" s="111">
        <f t="shared" si="10"/>
        <v>0</v>
      </c>
      <c r="AM34" s="112">
        <f t="shared" si="18"/>
        <v>0</v>
      </c>
      <c r="AN34" s="112">
        <f t="shared" si="19"/>
        <v>0</v>
      </c>
      <c r="AO34" s="113">
        <f t="shared" si="20"/>
        <v>0</v>
      </c>
      <c r="AQ34" s="111" t="str">
        <f t="shared" si="11"/>
        <v/>
      </c>
      <c r="AR34" s="124" t="str">
        <f t="shared" si="12"/>
        <v/>
      </c>
      <c r="AS34" s="124" t="str">
        <f t="shared" si="13"/>
        <v/>
      </c>
      <c r="AT34" s="124" t="str">
        <f t="shared" si="14"/>
        <v/>
      </c>
      <c r="AU34" s="125" t="str">
        <f t="shared" si="15"/>
        <v/>
      </c>
    </row>
    <row r="35" spans="2:47" ht="12.95" customHeight="1" x14ac:dyDescent="0.2">
      <c r="B35" s="210">
        <v>17</v>
      </c>
      <c r="C35" s="211"/>
      <c r="D35" s="212"/>
      <c r="E35" s="213"/>
      <c r="F35" s="214"/>
      <c r="G35" s="217"/>
      <c r="H35" s="218"/>
      <c r="I35" s="38"/>
      <c r="K35" s="51">
        <f t="shared" si="16"/>
        <v>55</v>
      </c>
      <c r="L35" s="52">
        <f t="shared" si="0"/>
        <v>60</v>
      </c>
      <c r="M35" s="138">
        <f t="shared" si="1"/>
        <v>0</v>
      </c>
      <c r="N35" s="138">
        <f t="shared" si="2"/>
        <v>0</v>
      </c>
      <c r="O35" s="18">
        <f t="shared" si="3"/>
        <v>0</v>
      </c>
      <c r="P35" s="18">
        <f t="shared" si="4"/>
        <v>0</v>
      </c>
      <c r="Q35" s="19">
        <f t="shared" si="5"/>
        <v>0</v>
      </c>
      <c r="R35" s="47">
        <f t="shared" si="6"/>
        <v>0</v>
      </c>
      <c r="S35" s="10">
        <f t="shared" si="7"/>
        <v>0</v>
      </c>
      <c r="U35" s="180" t="s">
        <v>57</v>
      </c>
      <c r="V35" s="180"/>
      <c r="W35" s="180"/>
      <c r="X35" s="180"/>
      <c r="Y35" s="182" t="str">
        <f>IF(OR(Y34="",AA34=""),"n.def",IF(AND(Y34="",AA34=""),"n.def",Y34/AA34))</f>
        <v>n.def</v>
      </c>
      <c r="Z35" s="183"/>
      <c r="AA35" s="183"/>
      <c r="AB35" s="185"/>
      <c r="AC35" s="185"/>
      <c r="AD35" s="1"/>
      <c r="AE35" s="89" t="e">
        <f>AND(vgemessen&gt;=$K$35,vgemessen&lt;$L$35,Ergebnis=0)</f>
        <v>#VALUE!</v>
      </c>
      <c r="AF35" s="129" t="e">
        <f>AND(vgemessen&gt;=$K$35,vgemessen&lt;$L$35,Ergebnis=1)</f>
        <v>#VALUE!</v>
      </c>
      <c r="AH35" s="91">
        <f t="shared" si="8"/>
        <v>1</v>
      </c>
      <c r="AI35" s="80">
        <f t="shared" si="9"/>
        <v>3</v>
      </c>
      <c r="AJ35" s="92">
        <f t="shared" si="17"/>
        <v>2</v>
      </c>
      <c r="AL35" s="111">
        <f t="shared" si="10"/>
        <v>0</v>
      </c>
      <c r="AM35" s="112">
        <f t="shared" si="18"/>
        <v>0</v>
      </c>
      <c r="AN35" s="112">
        <f t="shared" si="19"/>
        <v>0</v>
      </c>
      <c r="AO35" s="113">
        <f t="shared" si="20"/>
        <v>0</v>
      </c>
      <c r="AQ35" s="111" t="str">
        <f t="shared" si="11"/>
        <v/>
      </c>
      <c r="AR35" s="124" t="str">
        <f t="shared" si="12"/>
        <v/>
      </c>
      <c r="AS35" s="124" t="str">
        <f t="shared" si="13"/>
        <v/>
      </c>
      <c r="AT35" s="124" t="str">
        <f t="shared" si="14"/>
        <v/>
      </c>
      <c r="AU35" s="125" t="str">
        <f t="shared" si="15"/>
        <v/>
      </c>
    </row>
    <row r="36" spans="2:47" ht="12.95" customHeight="1" x14ac:dyDescent="0.2">
      <c r="B36" s="210">
        <v>18</v>
      </c>
      <c r="C36" s="211"/>
      <c r="D36" s="212"/>
      <c r="E36" s="213"/>
      <c r="F36" s="214"/>
      <c r="G36" s="217"/>
      <c r="H36" s="218"/>
      <c r="I36" s="38"/>
      <c r="K36" s="51">
        <f t="shared" si="16"/>
        <v>60</v>
      </c>
      <c r="L36" s="52">
        <f t="shared" si="0"/>
        <v>65</v>
      </c>
      <c r="M36" s="138">
        <f t="shared" si="1"/>
        <v>0</v>
      </c>
      <c r="N36" s="138">
        <f t="shared" si="2"/>
        <v>0</v>
      </c>
      <c r="O36" s="18">
        <f t="shared" si="3"/>
        <v>0</v>
      </c>
      <c r="P36" s="18">
        <f t="shared" si="4"/>
        <v>0</v>
      </c>
      <c r="Q36" s="19">
        <f t="shared" si="5"/>
        <v>0</v>
      </c>
      <c r="R36" s="47">
        <f t="shared" si="6"/>
        <v>0</v>
      </c>
      <c r="S36" s="10">
        <f t="shared" si="7"/>
        <v>0</v>
      </c>
      <c r="U36" s="180" t="s">
        <v>55</v>
      </c>
      <c r="V36" s="180"/>
      <c r="W36" s="180"/>
      <c r="X36" s="180"/>
      <c r="Y36" s="140" t="str">
        <f>IF(Y35="n.def","n.def",AA34-Y34)</f>
        <v>n.def</v>
      </c>
      <c r="Z36" s="81" t="s">
        <v>53</v>
      </c>
      <c r="AA36" s="140" t="str">
        <f>IF(Y35="n.def","n.def",AA34)</f>
        <v>n.def</v>
      </c>
      <c r="AB36" s="61" t="str">
        <f>IF(Y35="n.def","n.def",NORMINV(((1-Y36/AA36)),v50korr,MAX(skorr,0.00001)))</f>
        <v>n.def</v>
      </c>
      <c r="AC36" s="1" t="s">
        <v>5</v>
      </c>
      <c r="AD36" s="1"/>
      <c r="AE36" s="89" t="e">
        <f>AND(vgemessen&gt;=$K$36,vgemessen&lt;$L$36,Ergebnis=0)</f>
        <v>#VALUE!</v>
      </c>
      <c r="AF36" s="129" t="e">
        <f>AND(vgemessen&gt;=$K$36,vgemessen&lt;$L$36,Ergebnis=1)</f>
        <v>#VALUE!</v>
      </c>
      <c r="AH36" s="91">
        <f t="shared" si="8"/>
        <v>1</v>
      </c>
      <c r="AI36" s="80">
        <f t="shared" si="9"/>
        <v>3</v>
      </c>
      <c r="AJ36" s="92">
        <f t="shared" si="17"/>
        <v>2</v>
      </c>
      <c r="AL36" s="111">
        <f t="shared" si="10"/>
        <v>0</v>
      </c>
      <c r="AM36" s="112">
        <f t="shared" si="18"/>
        <v>0</v>
      </c>
      <c r="AN36" s="112">
        <f t="shared" si="19"/>
        <v>0</v>
      </c>
      <c r="AO36" s="113">
        <f t="shared" si="20"/>
        <v>0</v>
      </c>
      <c r="AQ36" s="111" t="str">
        <f t="shared" si="11"/>
        <v/>
      </c>
      <c r="AR36" s="124" t="str">
        <f t="shared" si="12"/>
        <v/>
      </c>
      <c r="AS36" s="124" t="str">
        <f t="shared" si="13"/>
        <v/>
      </c>
      <c r="AT36" s="124" t="str">
        <f t="shared" si="14"/>
        <v/>
      </c>
      <c r="AU36" s="125" t="str">
        <f t="shared" si="15"/>
        <v/>
      </c>
    </row>
    <row r="37" spans="2:47" ht="12.95" customHeight="1" x14ac:dyDescent="0.2">
      <c r="B37" s="210">
        <v>19</v>
      </c>
      <c r="C37" s="211"/>
      <c r="D37" s="212"/>
      <c r="E37" s="213"/>
      <c r="F37" s="214"/>
      <c r="G37" s="217"/>
      <c r="H37" s="218"/>
      <c r="I37" s="38"/>
      <c r="K37" s="51">
        <f t="shared" si="16"/>
        <v>65</v>
      </c>
      <c r="L37" s="52">
        <f t="shared" si="0"/>
        <v>70</v>
      </c>
      <c r="M37" s="138">
        <f t="shared" si="1"/>
        <v>0</v>
      </c>
      <c r="N37" s="138">
        <f t="shared" si="2"/>
        <v>0</v>
      </c>
      <c r="O37" s="18">
        <f t="shared" si="3"/>
        <v>0</v>
      </c>
      <c r="P37" s="18">
        <f t="shared" si="4"/>
        <v>0</v>
      </c>
      <c r="Q37" s="19">
        <f t="shared" si="5"/>
        <v>0</v>
      </c>
      <c r="R37" s="47">
        <f t="shared" si="6"/>
        <v>0</v>
      </c>
      <c r="S37" s="10">
        <f t="shared" si="7"/>
        <v>0</v>
      </c>
      <c r="U37" s="77"/>
      <c r="V37" s="77"/>
      <c r="W37" s="77"/>
      <c r="X37" s="77"/>
      <c r="Y37" s="182" t="str">
        <f>IF(Y35="n.def","n.def",Y36/AA36)</f>
        <v>n.def</v>
      </c>
      <c r="Z37" s="183"/>
      <c r="AA37" s="183"/>
      <c r="AB37" s="2"/>
      <c r="AC37" s="1"/>
      <c r="AD37" s="1"/>
      <c r="AE37" s="89" t="e">
        <f>AND(vgemessen&gt;=$K$37,vgemessen&lt;$L$37,Ergebnis=0)</f>
        <v>#VALUE!</v>
      </c>
      <c r="AF37" s="129" t="e">
        <f>AND(vgemessen&gt;=$K$37,vgemessen&lt;$L$37,Ergebnis=1)</f>
        <v>#VALUE!</v>
      </c>
      <c r="AH37" s="91">
        <f t="shared" si="8"/>
        <v>1</v>
      </c>
      <c r="AI37" s="80">
        <f t="shared" si="9"/>
        <v>3</v>
      </c>
      <c r="AJ37" s="92">
        <f t="shared" si="17"/>
        <v>2</v>
      </c>
      <c r="AL37" s="111">
        <f t="shared" si="10"/>
        <v>0</v>
      </c>
      <c r="AM37" s="112">
        <f t="shared" si="18"/>
        <v>0</v>
      </c>
      <c r="AN37" s="112">
        <f t="shared" si="19"/>
        <v>0</v>
      </c>
      <c r="AO37" s="113">
        <f t="shared" si="20"/>
        <v>0</v>
      </c>
      <c r="AQ37" s="111" t="str">
        <f t="shared" si="11"/>
        <v/>
      </c>
      <c r="AR37" s="124" t="str">
        <f t="shared" si="12"/>
        <v/>
      </c>
      <c r="AS37" s="124" t="str">
        <f t="shared" si="13"/>
        <v/>
      </c>
      <c r="AT37" s="124" t="str">
        <f t="shared" si="14"/>
        <v/>
      </c>
      <c r="AU37" s="125" t="str">
        <f t="shared" si="15"/>
        <v/>
      </c>
    </row>
    <row r="38" spans="2:47" ht="12.95" customHeight="1" x14ac:dyDescent="0.2">
      <c r="B38" s="210">
        <v>20</v>
      </c>
      <c r="C38" s="211"/>
      <c r="D38" s="212"/>
      <c r="E38" s="213"/>
      <c r="F38" s="214"/>
      <c r="G38" s="217"/>
      <c r="H38" s="218"/>
      <c r="I38" s="38"/>
      <c r="K38" s="51">
        <f t="shared" si="16"/>
        <v>70</v>
      </c>
      <c r="L38" s="52">
        <f t="shared" si="0"/>
        <v>75</v>
      </c>
      <c r="M38" s="138">
        <f t="shared" si="1"/>
        <v>0</v>
      </c>
      <c r="N38" s="138">
        <f t="shared" si="2"/>
        <v>0</v>
      </c>
      <c r="O38" s="18">
        <f t="shared" si="3"/>
        <v>0</v>
      </c>
      <c r="P38" s="18">
        <f t="shared" si="4"/>
        <v>0</v>
      </c>
      <c r="Q38" s="19">
        <f t="shared" si="5"/>
        <v>0</v>
      </c>
      <c r="R38" s="47">
        <f t="shared" si="6"/>
        <v>0</v>
      </c>
      <c r="S38" s="10">
        <f t="shared" si="7"/>
        <v>0</v>
      </c>
      <c r="U38" s="240"/>
      <c r="V38" s="200"/>
      <c r="W38" s="200"/>
      <c r="X38" s="200"/>
      <c r="Y38" s="200"/>
      <c r="Z38" s="200"/>
      <c r="AA38" s="200"/>
      <c r="AB38" s="200"/>
      <c r="AC38" s="200"/>
      <c r="AD38" s="1"/>
      <c r="AE38" s="89" t="e">
        <f>AND(vgemessen&gt;=$K$38,vgemessen&lt;$L$38,Ergebnis=0)</f>
        <v>#VALUE!</v>
      </c>
      <c r="AF38" s="129" t="e">
        <f>AND(vgemessen&gt;=$K$38,vgemessen&lt;$L$38,Ergebnis=1)</f>
        <v>#VALUE!</v>
      </c>
      <c r="AH38" s="91">
        <f t="shared" si="8"/>
        <v>1</v>
      </c>
      <c r="AI38" s="80">
        <f t="shared" si="9"/>
        <v>3</v>
      </c>
      <c r="AJ38" s="92">
        <f t="shared" si="17"/>
        <v>2</v>
      </c>
      <c r="AL38" s="111">
        <f t="shared" si="10"/>
        <v>0</v>
      </c>
      <c r="AM38" s="112">
        <f t="shared" si="18"/>
        <v>0</v>
      </c>
      <c r="AN38" s="112">
        <f t="shared" si="19"/>
        <v>0</v>
      </c>
      <c r="AO38" s="113">
        <f t="shared" si="20"/>
        <v>0</v>
      </c>
      <c r="AQ38" s="111" t="str">
        <f t="shared" si="11"/>
        <v/>
      </c>
      <c r="AR38" s="124" t="str">
        <f t="shared" si="12"/>
        <v/>
      </c>
      <c r="AS38" s="124" t="str">
        <f t="shared" si="13"/>
        <v/>
      </c>
      <c r="AT38" s="124" t="str">
        <f t="shared" si="14"/>
        <v/>
      </c>
      <c r="AU38" s="125" t="str">
        <f t="shared" si="15"/>
        <v/>
      </c>
    </row>
    <row r="39" spans="2:47" ht="12.95" customHeight="1" x14ac:dyDescent="0.2">
      <c r="B39" s="210">
        <v>21</v>
      </c>
      <c r="C39" s="211"/>
      <c r="D39" s="212"/>
      <c r="E39" s="213"/>
      <c r="F39" s="214"/>
      <c r="G39" s="217"/>
      <c r="H39" s="218"/>
      <c r="I39" s="38"/>
      <c r="K39" s="51">
        <f t="shared" si="16"/>
        <v>75</v>
      </c>
      <c r="L39" s="52">
        <f t="shared" si="0"/>
        <v>80</v>
      </c>
      <c r="M39" s="138">
        <f t="shared" si="1"/>
        <v>0</v>
      </c>
      <c r="N39" s="138">
        <f t="shared" si="2"/>
        <v>0</v>
      </c>
      <c r="O39" s="18">
        <f t="shared" si="3"/>
        <v>0</v>
      </c>
      <c r="P39" s="18">
        <f t="shared" si="4"/>
        <v>0</v>
      </c>
      <c r="Q39" s="19">
        <f t="shared" si="5"/>
        <v>0</v>
      </c>
      <c r="R39" s="47">
        <f t="shared" si="6"/>
        <v>0</v>
      </c>
      <c r="S39" s="10">
        <f t="shared" si="7"/>
        <v>0</v>
      </c>
      <c r="U39" s="77"/>
      <c r="V39" s="178" t="s">
        <v>56</v>
      </c>
      <c r="W39" s="178"/>
      <c r="X39" s="178"/>
      <c r="Y39" s="178"/>
      <c r="Z39" s="178"/>
      <c r="AA39" s="181"/>
      <c r="AB39" s="2">
        <f>NORMINV((0.1),v50korr,MAX(skorr,0.00001))</f>
        <v>-1.2815515655446006E-5</v>
      </c>
      <c r="AC39" s="1" t="s">
        <v>5</v>
      </c>
      <c r="AD39" s="1"/>
      <c r="AE39" s="89" t="e">
        <f>AND(vgemessen&gt;=$K$39,vgemessen&lt;$L$39,Ergebnis=0)</f>
        <v>#VALUE!</v>
      </c>
      <c r="AF39" s="129" t="e">
        <f>AND(vgemessen&gt;=$K$39,vgemessen&lt;$L$39,Ergebnis=1)</f>
        <v>#VALUE!</v>
      </c>
      <c r="AH39" s="91">
        <f t="shared" si="8"/>
        <v>1</v>
      </c>
      <c r="AI39" s="80">
        <f t="shared" si="9"/>
        <v>3</v>
      </c>
      <c r="AJ39" s="92">
        <f t="shared" si="17"/>
        <v>2</v>
      </c>
      <c r="AL39" s="111">
        <f t="shared" si="10"/>
        <v>0</v>
      </c>
      <c r="AM39" s="112">
        <f t="shared" si="18"/>
        <v>0</v>
      </c>
      <c r="AN39" s="112">
        <f t="shared" si="19"/>
        <v>0</v>
      </c>
      <c r="AO39" s="113">
        <f t="shared" si="20"/>
        <v>0</v>
      </c>
      <c r="AQ39" s="111" t="str">
        <f t="shared" si="11"/>
        <v/>
      </c>
      <c r="AR39" s="124" t="str">
        <f t="shared" si="12"/>
        <v/>
      </c>
      <c r="AS39" s="124" t="str">
        <f t="shared" si="13"/>
        <v/>
      </c>
      <c r="AT39" s="124" t="str">
        <f t="shared" si="14"/>
        <v/>
      </c>
      <c r="AU39" s="125" t="str">
        <f t="shared" si="15"/>
        <v/>
      </c>
    </row>
    <row r="40" spans="2:47" ht="12.95" customHeight="1" x14ac:dyDescent="0.2">
      <c r="B40" s="210">
        <v>22</v>
      </c>
      <c r="C40" s="211"/>
      <c r="D40" s="212"/>
      <c r="E40" s="213"/>
      <c r="F40" s="214"/>
      <c r="G40" s="217"/>
      <c r="H40" s="218"/>
      <c r="I40" s="38"/>
      <c r="K40" s="51">
        <f t="shared" si="16"/>
        <v>80</v>
      </c>
      <c r="L40" s="52">
        <f t="shared" si="0"/>
        <v>85</v>
      </c>
      <c r="M40" s="138">
        <f t="shared" si="1"/>
        <v>0</v>
      </c>
      <c r="N40" s="138">
        <f t="shared" si="2"/>
        <v>0</v>
      </c>
      <c r="O40" s="18">
        <f t="shared" si="3"/>
        <v>0</v>
      </c>
      <c r="P40" s="18">
        <f t="shared" si="4"/>
        <v>0</v>
      </c>
      <c r="Q40" s="19">
        <f t="shared" si="5"/>
        <v>0</v>
      </c>
      <c r="R40" s="47">
        <f t="shared" si="6"/>
        <v>0</v>
      </c>
      <c r="S40" s="10">
        <f t="shared" si="7"/>
        <v>0</v>
      </c>
      <c r="U40" s="77"/>
      <c r="V40" s="178" t="s">
        <v>58</v>
      </c>
      <c r="W40" s="178"/>
      <c r="X40" s="178"/>
      <c r="Y40" s="178"/>
      <c r="Z40" s="178"/>
      <c r="AA40" s="181"/>
      <c r="AB40" s="2">
        <f>NORMINV((0.05),v50korr,MAX(skorr,0.00001))</f>
        <v>-1.6448536269514729E-5</v>
      </c>
      <c r="AC40" s="1" t="s">
        <v>5</v>
      </c>
      <c r="AD40" s="1"/>
      <c r="AE40" s="89" t="e">
        <f>AND(vgemessen&gt;=$K$40,vgemessen&lt;$L$40,Ergebnis=0)</f>
        <v>#VALUE!</v>
      </c>
      <c r="AF40" s="129" t="e">
        <f>AND(vgemessen&gt;=$K$40,vgemessen&lt;$L$40,Ergebnis=1)</f>
        <v>#VALUE!</v>
      </c>
      <c r="AH40" s="91">
        <f t="shared" si="8"/>
        <v>1</v>
      </c>
      <c r="AI40" s="80">
        <f t="shared" si="9"/>
        <v>3</v>
      </c>
      <c r="AJ40" s="92">
        <f t="shared" si="17"/>
        <v>2</v>
      </c>
      <c r="AL40" s="111">
        <f t="shared" si="10"/>
        <v>0</v>
      </c>
      <c r="AM40" s="112">
        <f t="shared" si="18"/>
        <v>0</v>
      </c>
      <c r="AN40" s="112">
        <f t="shared" si="19"/>
        <v>0</v>
      </c>
      <c r="AO40" s="113">
        <f t="shared" si="20"/>
        <v>0</v>
      </c>
      <c r="AQ40" s="111" t="str">
        <f t="shared" si="11"/>
        <v/>
      </c>
      <c r="AR40" s="124" t="str">
        <f>IF(AND($AJ40=1,OR($AQ41="zählt",$AQ42="zählt")),AL40,"")</f>
        <v/>
      </c>
      <c r="AS40" s="124" t="str">
        <f t="shared" si="13"/>
        <v/>
      </c>
      <c r="AT40" s="124" t="str">
        <f t="shared" si="14"/>
        <v/>
      </c>
      <c r="AU40" s="125" t="str">
        <f t="shared" si="15"/>
        <v/>
      </c>
    </row>
    <row r="41" spans="2:47" ht="12.95" customHeight="1" x14ac:dyDescent="0.2">
      <c r="B41" s="210">
        <v>23</v>
      </c>
      <c r="C41" s="211"/>
      <c r="D41" s="212"/>
      <c r="E41" s="213"/>
      <c r="F41" s="214"/>
      <c r="G41" s="217"/>
      <c r="H41" s="218"/>
      <c r="I41" s="38"/>
      <c r="K41" s="51">
        <f t="shared" si="16"/>
        <v>85</v>
      </c>
      <c r="L41" s="52">
        <f t="shared" si="0"/>
        <v>90</v>
      </c>
      <c r="M41" s="138">
        <f t="shared" si="1"/>
        <v>0</v>
      </c>
      <c r="N41" s="138">
        <f t="shared" si="2"/>
        <v>0</v>
      </c>
      <c r="O41" s="18">
        <f t="shared" si="3"/>
        <v>0</v>
      </c>
      <c r="P41" s="18">
        <f t="shared" si="4"/>
        <v>0</v>
      </c>
      <c r="Q41" s="19">
        <f t="shared" si="5"/>
        <v>0</v>
      </c>
      <c r="R41" s="47">
        <f t="shared" si="6"/>
        <v>0</v>
      </c>
      <c r="S41" s="10">
        <f t="shared" si="7"/>
        <v>0</v>
      </c>
      <c r="U41" s="77"/>
      <c r="V41" s="178" t="s">
        <v>60</v>
      </c>
      <c r="W41" s="178"/>
      <c r="X41" s="178"/>
      <c r="Y41" s="178"/>
      <c r="Z41" s="178"/>
      <c r="AA41" s="181"/>
      <c r="AB41" s="2">
        <f>NORMINV((0.01),v50korr,MAX(skorr,0.00001))</f>
        <v>-2.3263478740408411E-5</v>
      </c>
      <c r="AC41" s="1" t="s">
        <v>5</v>
      </c>
      <c r="AD41" s="1"/>
      <c r="AE41" s="89" t="e">
        <f>AND(vgemessen&gt;=$K$41,vgemessen&lt;$L$41,Ergebnis=0)</f>
        <v>#VALUE!</v>
      </c>
      <c r="AF41" s="129" t="e">
        <f>AND(vgemessen&gt;=$K$41,vgemessen&lt;$L$41,Ergebnis=1)</f>
        <v>#VALUE!</v>
      </c>
      <c r="AH41" s="91">
        <f t="shared" si="8"/>
        <v>1</v>
      </c>
      <c r="AI41" s="80">
        <f t="shared" si="9"/>
        <v>3</v>
      </c>
      <c r="AJ41" s="92">
        <f t="shared" si="17"/>
        <v>2</v>
      </c>
      <c r="AL41" s="111">
        <f t="shared" si="10"/>
        <v>0</v>
      </c>
      <c r="AM41" s="112">
        <f t="shared" si="18"/>
        <v>0</v>
      </c>
      <c r="AN41" s="112">
        <f t="shared" si="19"/>
        <v>0</v>
      </c>
      <c r="AO41" s="113">
        <f t="shared" si="20"/>
        <v>0</v>
      </c>
      <c r="AQ41" s="111" t="str">
        <f t="shared" si="11"/>
        <v/>
      </c>
      <c r="AR41" s="124" t="str">
        <f t="shared" ref="AR41:AR53" si="21">IF(AND($AJ41=1,OR($AQ42="zählt",$AQ43="zählt")),AL41,"")</f>
        <v/>
      </c>
      <c r="AS41" s="124" t="str">
        <f>IF(AND($AJ41=2,OR($AQ40="zählt",$AQ39="zählt")),AL41,"")</f>
        <v/>
      </c>
      <c r="AT41" s="124" t="str">
        <f t="shared" si="14"/>
        <v/>
      </c>
      <c r="AU41" s="125" t="str">
        <f t="shared" si="15"/>
        <v/>
      </c>
    </row>
    <row r="42" spans="2:47" ht="12.95" customHeight="1" x14ac:dyDescent="0.2">
      <c r="B42" s="210">
        <v>24</v>
      </c>
      <c r="C42" s="211"/>
      <c r="D42" s="212"/>
      <c r="E42" s="213"/>
      <c r="F42" s="214"/>
      <c r="G42" s="217"/>
      <c r="H42" s="218"/>
      <c r="I42" s="38"/>
      <c r="K42" s="51">
        <f t="shared" si="16"/>
        <v>90</v>
      </c>
      <c r="L42" s="52">
        <f t="shared" si="0"/>
        <v>95</v>
      </c>
      <c r="M42" s="138">
        <f t="shared" si="1"/>
        <v>0</v>
      </c>
      <c r="N42" s="138">
        <f t="shared" si="2"/>
        <v>0</v>
      </c>
      <c r="O42" s="18">
        <f t="shared" si="3"/>
        <v>0</v>
      </c>
      <c r="P42" s="18">
        <f t="shared" si="4"/>
        <v>0</v>
      </c>
      <c r="Q42" s="19">
        <f t="shared" si="5"/>
        <v>0</v>
      </c>
      <c r="R42" s="47">
        <f t="shared" si="6"/>
        <v>0</v>
      </c>
      <c r="S42" s="10">
        <f t="shared" si="7"/>
        <v>0</v>
      </c>
      <c r="U42" s="77"/>
      <c r="V42" s="178" t="s">
        <v>59</v>
      </c>
      <c r="W42" s="178"/>
      <c r="X42" s="178"/>
      <c r="Y42" s="178"/>
      <c r="Z42" s="178"/>
      <c r="AA42" s="181"/>
      <c r="AB42" s="2">
        <f>NORMINV((0.001),v50korr,MAX(skorr,0.00001))</f>
        <v>-3.0902323061678134E-5</v>
      </c>
      <c r="AC42" s="1" t="s">
        <v>5</v>
      </c>
      <c r="AD42" s="1"/>
      <c r="AE42" s="89" t="e">
        <f>AND(vgemessen&gt;=$K$42,vgemessen&lt;$L$42,Ergebnis=0)</f>
        <v>#VALUE!</v>
      </c>
      <c r="AF42" s="129" t="e">
        <f>AND(vgemessen&gt;=$K$42,vgemessen&lt;$L$42,Ergebnis=1)</f>
        <v>#VALUE!</v>
      </c>
      <c r="AH42" s="91">
        <f t="shared" si="8"/>
        <v>1</v>
      </c>
      <c r="AI42" s="80">
        <f t="shared" si="9"/>
        <v>3</v>
      </c>
      <c r="AJ42" s="92">
        <f t="shared" si="17"/>
        <v>2</v>
      </c>
      <c r="AL42" s="111">
        <f t="shared" si="10"/>
        <v>0</v>
      </c>
      <c r="AM42" s="112">
        <f t="shared" si="18"/>
        <v>0</v>
      </c>
      <c r="AN42" s="112">
        <f t="shared" si="19"/>
        <v>0</v>
      </c>
      <c r="AO42" s="113">
        <f t="shared" si="20"/>
        <v>0</v>
      </c>
      <c r="AQ42" s="111" t="str">
        <f t="shared" si="11"/>
        <v/>
      </c>
      <c r="AR42" s="124" t="str">
        <f t="shared" si="21"/>
        <v/>
      </c>
      <c r="AS42" s="124" t="str">
        <f t="shared" ref="AS42:AS53" si="22">IF(AND($AJ42=2,OR($AQ41="zählt",$AQ40="zählt")),AL42,"")</f>
        <v/>
      </c>
      <c r="AT42" s="124" t="str">
        <f t="shared" si="14"/>
        <v/>
      </c>
      <c r="AU42" s="125" t="str">
        <f t="shared" si="15"/>
        <v/>
      </c>
    </row>
    <row r="43" spans="2:47" ht="12.95" customHeight="1" x14ac:dyDescent="0.2">
      <c r="B43" s="210">
        <v>25</v>
      </c>
      <c r="C43" s="211"/>
      <c r="D43" s="212"/>
      <c r="E43" s="213"/>
      <c r="F43" s="214"/>
      <c r="G43" s="217"/>
      <c r="H43" s="218"/>
      <c r="I43" s="38"/>
      <c r="K43" s="51">
        <f t="shared" si="16"/>
        <v>95</v>
      </c>
      <c r="L43" s="52">
        <f t="shared" si="0"/>
        <v>100</v>
      </c>
      <c r="M43" s="138">
        <f t="shared" si="1"/>
        <v>0</v>
      </c>
      <c r="N43" s="138">
        <f t="shared" si="2"/>
        <v>0</v>
      </c>
      <c r="O43" s="18">
        <f t="shared" si="3"/>
        <v>0</v>
      </c>
      <c r="P43" s="18">
        <f t="shared" si="4"/>
        <v>0</v>
      </c>
      <c r="Q43" s="19">
        <f t="shared" si="5"/>
        <v>0</v>
      </c>
      <c r="R43" s="47">
        <f t="shared" si="6"/>
        <v>0</v>
      </c>
      <c r="S43" s="10">
        <f t="shared" si="7"/>
        <v>0</v>
      </c>
      <c r="U43" s="178"/>
      <c r="V43" s="179"/>
      <c r="W43" s="179"/>
      <c r="X43" s="179"/>
      <c r="Y43" s="179"/>
      <c r="Z43" s="179"/>
      <c r="AA43" s="179"/>
      <c r="AB43" s="179"/>
      <c r="AC43" s="179"/>
      <c r="AD43" s="83"/>
      <c r="AE43" s="89" t="e">
        <f>AND(vgemessen&gt;=$K$43,vgemessen&lt;$L$43,Ergebnis=0)</f>
        <v>#VALUE!</v>
      </c>
      <c r="AF43" s="129" t="e">
        <f>AND(vgemessen&gt;=$K$43,vgemessen&lt;$L$43,Ergebnis=1)</f>
        <v>#VALUE!</v>
      </c>
      <c r="AH43" s="91">
        <f t="shared" si="8"/>
        <v>1</v>
      </c>
      <c r="AI43" s="80">
        <f t="shared" si="9"/>
        <v>3</v>
      </c>
      <c r="AJ43" s="92">
        <f t="shared" si="17"/>
        <v>2</v>
      </c>
      <c r="AL43" s="111">
        <f t="shared" si="10"/>
        <v>0</v>
      </c>
      <c r="AM43" s="112">
        <f t="shared" si="18"/>
        <v>0</v>
      </c>
      <c r="AN43" s="112">
        <f t="shared" si="19"/>
        <v>0</v>
      </c>
      <c r="AO43" s="113">
        <f t="shared" si="20"/>
        <v>0</v>
      </c>
      <c r="AQ43" s="111" t="str">
        <f t="shared" si="11"/>
        <v/>
      </c>
      <c r="AR43" s="124" t="str">
        <f t="shared" si="21"/>
        <v/>
      </c>
      <c r="AS43" s="124" t="str">
        <f t="shared" si="22"/>
        <v/>
      </c>
      <c r="AT43" s="124" t="str">
        <f t="shared" si="14"/>
        <v/>
      </c>
      <c r="AU43" s="125" t="str">
        <f t="shared" si="15"/>
        <v/>
      </c>
    </row>
    <row r="44" spans="2:47" ht="12.95" customHeight="1" x14ac:dyDescent="0.2">
      <c r="B44" s="210">
        <v>26</v>
      </c>
      <c r="C44" s="211"/>
      <c r="D44" s="212"/>
      <c r="E44" s="213"/>
      <c r="F44" s="214"/>
      <c r="G44" s="217"/>
      <c r="H44" s="218"/>
      <c r="I44" s="38"/>
      <c r="K44" s="51">
        <f t="shared" si="16"/>
        <v>100</v>
      </c>
      <c r="L44" s="52">
        <f t="shared" si="0"/>
        <v>105</v>
      </c>
      <c r="M44" s="138">
        <f t="shared" si="1"/>
        <v>0</v>
      </c>
      <c r="N44" s="138">
        <f t="shared" si="2"/>
        <v>0</v>
      </c>
      <c r="O44" s="18">
        <f t="shared" ref="O44:O52" si="23">IF(+M44+N44&gt;0,+N44/(M44+N44),O43)</f>
        <v>0</v>
      </c>
      <c r="P44" s="18">
        <f t="shared" ref="P44:P52" si="24">O44-O43</f>
        <v>0</v>
      </c>
      <c r="Q44" s="19">
        <f t="shared" ref="Q44:Q52" si="25">IF(+M43+N43&gt;0,K43,Q43)</f>
        <v>0</v>
      </c>
      <c r="R44" s="47">
        <f t="shared" ref="R44:R52" si="26">P44*((Q44+L44)/2)</f>
        <v>0</v>
      </c>
      <c r="S44" s="10">
        <f t="shared" ref="S44:S52" si="27">P44*(($R$55-(Q44+L44)/2)^2)</f>
        <v>0</v>
      </c>
      <c r="U44" s="173" t="s">
        <v>51</v>
      </c>
      <c r="V44" s="173"/>
      <c r="W44" s="173"/>
      <c r="X44" s="173"/>
      <c r="Y44" s="173"/>
      <c r="Z44" s="173"/>
      <c r="AA44" s="173"/>
      <c r="AB44" s="173"/>
      <c r="AC44" s="173"/>
      <c r="AD44" s="83"/>
      <c r="AE44" s="89" t="e">
        <f>AND(vgemessen&gt;=$K$44,vgemessen&lt;$L$44,Ergebnis=0)</f>
        <v>#VALUE!</v>
      </c>
      <c r="AF44" s="129" t="e">
        <f>AND(vgemessen&gt;=$K$44,vgemessen&lt;$L$44,Ergebnis=1)</f>
        <v>#VALUE!</v>
      </c>
      <c r="AH44" s="91">
        <f t="shared" si="8"/>
        <v>1</v>
      </c>
      <c r="AI44" s="80">
        <f t="shared" si="9"/>
        <v>3</v>
      </c>
      <c r="AJ44" s="92">
        <f t="shared" si="17"/>
        <v>2</v>
      </c>
      <c r="AL44" s="111">
        <f t="shared" si="10"/>
        <v>0</v>
      </c>
      <c r="AM44" s="112">
        <f t="shared" si="18"/>
        <v>0</v>
      </c>
      <c r="AN44" s="112">
        <f t="shared" si="19"/>
        <v>0</v>
      </c>
      <c r="AO44" s="113">
        <f t="shared" si="20"/>
        <v>0</v>
      </c>
      <c r="AQ44" s="111" t="str">
        <f t="shared" si="11"/>
        <v/>
      </c>
      <c r="AR44" s="124" t="str">
        <f t="shared" si="21"/>
        <v/>
      </c>
      <c r="AS44" s="124" t="str">
        <f t="shared" si="22"/>
        <v/>
      </c>
      <c r="AT44" s="124" t="str">
        <f t="shared" si="14"/>
        <v/>
      </c>
      <c r="AU44" s="125" t="str">
        <f t="shared" si="15"/>
        <v/>
      </c>
    </row>
    <row r="45" spans="2:47" ht="12.95" customHeight="1" x14ac:dyDescent="0.2">
      <c r="B45" s="210">
        <v>27</v>
      </c>
      <c r="C45" s="211"/>
      <c r="D45" s="212"/>
      <c r="E45" s="213"/>
      <c r="F45" s="214"/>
      <c r="G45" s="217"/>
      <c r="H45" s="218"/>
      <c r="I45" s="38"/>
      <c r="K45" s="51">
        <f t="shared" si="16"/>
        <v>105</v>
      </c>
      <c r="L45" s="52">
        <f t="shared" si="0"/>
        <v>110</v>
      </c>
      <c r="M45" s="138">
        <f t="shared" si="1"/>
        <v>0</v>
      </c>
      <c r="N45" s="138">
        <f t="shared" si="2"/>
        <v>0</v>
      </c>
      <c r="O45" s="18">
        <f t="shared" si="23"/>
        <v>0</v>
      </c>
      <c r="P45" s="18">
        <f t="shared" si="24"/>
        <v>0</v>
      </c>
      <c r="Q45" s="19">
        <f t="shared" si="25"/>
        <v>0</v>
      </c>
      <c r="R45" s="47">
        <f t="shared" si="26"/>
        <v>0</v>
      </c>
      <c r="S45" s="10">
        <f t="shared" si="27"/>
        <v>0</v>
      </c>
      <c r="U45" s="173"/>
      <c r="V45" s="173"/>
      <c r="W45" s="173"/>
      <c r="X45" s="173"/>
      <c r="Y45" s="173"/>
      <c r="Z45" s="173"/>
      <c r="AA45" s="173"/>
      <c r="AB45" s="173"/>
      <c r="AC45" s="173"/>
      <c r="AD45" s="83"/>
      <c r="AE45" s="89" t="e">
        <f>AND(vgemessen&gt;=$K$45,vgemessen&lt;$L$45,Ergebnis=0)</f>
        <v>#VALUE!</v>
      </c>
      <c r="AF45" s="129" t="e">
        <f>AND(vgemessen&gt;=$K$45,vgemessen&lt;$L$45,Ergebnis=1)</f>
        <v>#VALUE!</v>
      </c>
      <c r="AH45" s="91">
        <f t="shared" si="8"/>
        <v>1</v>
      </c>
      <c r="AI45" s="80">
        <f t="shared" si="9"/>
        <v>3</v>
      </c>
      <c r="AJ45" s="92">
        <f t="shared" si="17"/>
        <v>2</v>
      </c>
      <c r="AL45" s="111">
        <f t="shared" si="10"/>
        <v>0</v>
      </c>
      <c r="AM45" s="112">
        <f t="shared" si="18"/>
        <v>0</v>
      </c>
      <c r="AN45" s="112">
        <f t="shared" si="19"/>
        <v>0</v>
      </c>
      <c r="AO45" s="113">
        <f t="shared" si="20"/>
        <v>0</v>
      </c>
      <c r="AQ45" s="111" t="str">
        <f t="shared" si="11"/>
        <v/>
      </c>
      <c r="AR45" s="124" t="str">
        <f t="shared" si="21"/>
        <v/>
      </c>
      <c r="AS45" s="124" t="str">
        <f t="shared" si="22"/>
        <v/>
      </c>
      <c r="AT45" s="124" t="str">
        <f t="shared" si="14"/>
        <v/>
      </c>
      <c r="AU45" s="125" t="str">
        <f t="shared" si="15"/>
        <v/>
      </c>
    </row>
    <row r="46" spans="2:47" ht="12.95" customHeight="1" x14ac:dyDescent="0.2">
      <c r="B46" s="210">
        <v>28</v>
      </c>
      <c r="C46" s="211"/>
      <c r="D46" s="212"/>
      <c r="E46" s="213"/>
      <c r="F46" s="214"/>
      <c r="G46" s="217"/>
      <c r="H46" s="218"/>
      <c r="I46" s="38"/>
      <c r="K46" s="51">
        <f t="shared" si="16"/>
        <v>110</v>
      </c>
      <c r="L46" s="52">
        <f t="shared" si="0"/>
        <v>115</v>
      </c>
      <c r="M46" s="138">
        <f t="shared" si="1"/>
        <v>0</v>
      </c>
      <c r="N46" s="141">
        <f t="shared" si="2"/>
        <v>0</v>
      </c>
      <c r="O46" s="18">
        <f t="shared" si="23"/>
        <v>0</v>
      </c>
      <c r="P46" s="18">
        <f t="shared" si="24"/>
        <v>0</v>
      </c>
      <c r="Q46" s="19">
        <f t="shared" si="25"/>
        <v>0</v>
      </c>
      <c r="R46" s="47">
        <f t="shared" si="26"/>
        <v>0</v>
      </c>
      <c r="S46" s="10">
        <f t="shared" si="27"/>
        <v>0</v>
      </c>
      <c r="U46" s="173"/>
      <c r="V46" s="173"/>
      <c r="W46" s="173"/>
      <c r="X46" s="173"/>
      <c r="Y46" s="173"/>
      <c r="Z46" s="173"/>
      <c r="AA46" s="173"/>
      <c r="AB46" s="173"/>
      <c r="AC46" s="173"/>
      <c r="AD46" s="83"/>
      <c r="AE46" s="89" t="e">
        <f>AND(vgemessen&gt;=$K$46,vgemessen&lt;$L$46,Ergebnis=0)</f>
        <v>#VALUE!</v>
      </c>
      <c r="AF46" s="129" t="e">
        <f>AND(vgemessen&gt;=$K$46,vgemessen&lt;$L$46,Ergebnis=1)</f>
        <v>#VALUE!</v>
      </c>
      <c r="AH46" s="91">
        <f t="shared" si="8"/>
        <v>1</v>
      </c>
      <c r="AI46" s="80">
        <f t="shared" si="9"/>
        <v>3</v>
      </c>
      <c r="AJ46" s="92">
        <f t="shared" si="17"/>
        <v>2</v>
      </c>
      <c r="AL46" s="111">
        <f t="shared" si="10"/>
        <v>0</v>
      </c>
      <c r="AM46" s="112">
        <f t="shared" si="18"/>
        <v>0</v>
      </c>
      <c r="AN46" s="112">
        <f t="shared" si="19"/>
        <v>0</v>
      </c>
      <c r="AO46" s="113">
        <f t="shared" si="20"/>
        <v>0</v>
      </c>
      <c r="AQ46" s="111" t="str">
        <f t="shared" si="11"/>
        <v/>
      </c>
      <c r="AR46" s="124" t="str">
        <f t="shared" si="21"/>
        <v/>
      </c>
      <c r="AS46" s="124" t="str">
        <f t="shared" si="22"/>
        <v/>
      </c>
      <c r="AT46" s="124" t="str">
        <f t="shared" si="14"/>
        <v/>
      </c>
      <c r="AU46" s="125" t="str">
        <f t="shared" si="15"/>
        <v/>
      </c>
    </row>
    <row r="47" spans="2:47" ht="12.95" customHeight="1" x14ac:dyDescent="0.2">
      <c r="B47" s="210">
        <v>29</v>
      </c>
      <c r="C47" s="211"/>
      <c r="D47" s="212"/>
      <c r="E47" s="213"/>
      <c r="F47" s="214"/>
      <c r="G47" s="217"/>
      <c r="H47" s="218"/>
      <c r="I47" s="38"/>
      <c r="K47" s="51">
        <f t="shared" si="16"/>
        <v>115</v>
      </c>
      <c r="L47" s="52">
        <f t="shared" si="0"/>
        <v>120</v>
      </c>
      <c r="M47" s="138">
        <f t="shared" si="1"/>
        <v>0</v>
      </c>
      <c r="N47" s="141">
        <f t="shared" si="2"/>
        <v>0</v>
      </c>
      <c r="O47" s="18">
        <f t="shared" si="23"/>
        <v>0</v>
      </c>
      <c r="P47" s="18">
        <f t="shared" si="24"/>
        <v>0</v>
      </c>
      <c r="Q47" s="19">
        <f t="shared" si="25"/>
        <v>0</v>
      </c>
      <c r="R47" s="47">
        <f t="shared" si="26"/>
        <v>0</v>
      </c>
      <c r="S47" s="10">
        <f t="shared" si="27"/>
        <v>0</v>
      </c>
      <c r="U47" s="173"/>
      <c r="V47" s="200"/>
      <c r="W47" s="200"/>
      <c r="X47" s="200"/>
      <c r="Y47" s="200"/>
      <c r="Z47" s="200"/>
      <c r="AA47" s="200"/>
      <c r="AB47" s="200"/>
      <c r="AC47" s="200"/>
      <c r="AD47" s="142"/>
      <c r="AE47" s="89" t="e">
        <f>AND(vgemessen&gt;=$K$47,vgemessen&lt;$L$47,Ergebnis=0)</f>
        <v>#VALUE!</v>
      </c>
      <c r="AF47" s="129" t="e">
        <f>AND(vgemessen&gt;=$K$47,vgemessen&lt;$L$47,Ergebnis=1)</f>
        <v>#VALUE!</v>
      </c>
      <c r="AH47" s="91">
        <f t="shared" si="8"/>
        <v>1</v>
      </c>
      <c r="AI47" s="80">
        <f t="shared" si="9"/>
        <v>3</v>
      </c>
      <c r="AJ47" s="92">
        <f t="shared" si="17"/>
        <v>2</v>
      </c>
      <c r="AL47" s="111">
        <f t="shared" si="10"/>
        <v>0</v>
      </c>
      <c r="AM47" s="112">
        <f t="shared" si="18"/>
        <v>0</v>
      </c>
      <c r="AN47" s="112">
        <f t="shared" si="19"/>
        <v>0</v>
      </c>
      <c r="AO47" s="113">
        <f t="shared" si="20"/>
        <v>0</v>
      </c>
      <c r="AQ47" s="111" t="str">
        <f t="shared" si="11"/>
        <v/>
      </c>
      <c r="AR47" s="124" t="str">
        <f t="shared" si="21"/>
        <v/>
      </c>
      <c r="AS47" s="124" t="str">
        <f t="shared" si="22"/>
        <v/>
      </c>
      <c r="AT47" s="124" t="str">
        <f t="shared" si="14"/>
        <v/>
      </c>
      <c r="AU47" s="125" t="str">
        <f t="shared" si="15"/>
        <v/>
      </c>
    </row>
    <row r="48" spans="2:47" ht="12.95" customHeight="1" x14ac:dyDescent="0.2">
      <c r="B48" s="210">
        <v>30</v>
      </c>
      <c r="C48" s="211"/>
      <c r="D48" s="212"/>
      <c r="E48" s="213"/>
      <c r="F48" s="214"/>
      <c r="G48" s="217"/>
      <c r="H48" s="218"/>
      <c r="I48" s="38"/>
      <c r="K48" s="51">
        <f t="shared" si="16"/>
        <v>120</v>
      </c>
      <c r="L48" s="52">
        <f t="shared" si="0"/>
        <v>125</v>
      </c>
      <c r="M48" s="138">
        <f t="shared" si="1"/>
        <v>0</v>
      </c>
      <c r="N48" s="141">
        <f t="shared" si="2"/>
        <v>0</v>
      </c>
      <c r="O48" s="18">
        <f t="shared" si="23"/>
        <v>0</v>
      </c>
      <c r="P48" s="18">
        <f t="shared" si="24"/>
        <v>0</v>
      </c>
      <c r="Q48" s="19">
        <f t="shared" si="25"/>
        <v>0</v>
      </c>
      <c r="R48" s="47">
        <f t="shared" si="26"/>
        <v>0</v>
      </c>
      <c r="S48" s="10">
        <f t="shared" si="27"/>
        <v>0</v>
      </c>
      <c r="U48" s="186" t="s">
        <v>29</v>
      </c>
      <c r="V48" s="187"/>
      <c r="W48" s="187"/>
      <c r="X48" s="187"/>
      <c r="Y48" s="187"/>
      <c r="Z48" s="187"/>
      <c r="AA48" s="187"/>
      <c r="AB48" s="187"/>
      <c r="AC48" s="187"/>
      <c r="AD48" s="142"/>
      <c r="AE48" s="89" t="e">
        <f>AND(vgemessen&gt;=$K$48,vgemessen&lt;$L$48,Ergebnis=0)</f>
        <v>#VALUE!</v>
      </c>
      <c r="AF48" s="129" t="e">
        <f>AND(vgemessen&gt;=$K$48,vgemessen&lt;$L$48,Ergebnis=1)</f>
        <v>#VALUE!</v>
      </c>
      <c r="AH48" s="91">
        <f t="shared" si="8"/>
        <v>1</v>
      </c>
      <c r="AI48" s="80">
        <f t="shared" si="9"/>
        <v>3</v>
      </c>
      <c r="AJ48" s="92">
        <f t="shared" si="17"/>
        <v>2</v>
      </c>
      <c r="AL48" s="111">
        <f t="shared" si="10"/>
        <v>0</v>
      </c>
      <c r="AM48" s="112">
        <f t="shared" si="18"/>
        <v>0</v>
      </c>
      <c r="AN48" s="112">
        <f t="shared" si="19"/>
        <v>0</v>
      </c>
      <c r="AO48" s="113">
        <f t="shared" si="20"/>
        <v>0</v>
      </c>
      <c r="AQ48" s="111" t="str">
        <f t="shared" si="11"/>
        <v/>
      </c>
      <c r="AR48" s="124" t="str">
        <f t="shared" si="21"/>
        <v/>
      </c>
      <c r="AS48" s="124" t="str">
        <f t="shared" si="22"/>
        <v/>
      </c>
      <c r="AT48" s="124" t="str">
        <f>IF(AND($AJ48=2,OR($AQ49="zählt",$AQ50="zählt")),AL48,"")</f>
        <v/>
      </c>
      <c r="AU48" s="125" t="str">
        <f t="shared" si="15"/>
        <v/>
      </c>
    </row>
    <row r="49" spans="1:236" ht="12.95" customHeight="1" x14ac:dyDescent="0.2">
      <c r="A49" s="253"/>
      <c r="B49" s="254"/>
      <c r="C49" s="45"/>
      <c r="D49" s="45"/>
      <c r="E49" s="46"/>
      <c r="F49" s="46"/>
      <c r="G49" s="47"/>
      <c r="H49" s="47"/>
      <c r="I49" s="46"/>
      <c r="K49" s="51">
        <f t="shared" si="16"/>
        <v>125</v>
      </c>
      <c r="L49" s="52">
        <f t="shared" si="0"/>
        <v>130</v>
      </c>
      <c r="M49" s="138">
        <f t="shared" si="1"/>
        <v>0</v>
      </c>
      <c r="N49" s="141">
        <f t="shared" si="2"/>
        <v>0</v>
      </c>
      <c r="O49" s="18">
        <f t="shared" si="23"/>
        <v>0</v>
      </c>
      <c r="P49" s="18">
        <f t="shared" si="24"/>
        <v>0</v>
      </c>
      <c r="Q49" s="19">
        <f t="shared" si="25"/>
        <v>0</v>
      </c>
      <c r="R49" s="47">
        <f t="shared" si="26"/>
        <v>0</v>
      </c>
      <c r="S49" s="10">
        <f t="shared" si="27"/>
        <v>0</v>
      </c>
      <c r="U49" s="186"/>
      <c r="V49" s="200"/>
      <c r="W49" s="200"/>
      <c r="X49" s="200"/>
      <c r="Y49" s="200"/>
      <c r="Z49" s="200"/>
      <c r="AA49" s="200"/>
      <c r="AB49" s="200"/>
      <c r="AC49" s="200"/>
      <c r="AD49" s="1"/>
      <c r="AE49" s="89" t="e">
        <f>AND(vgemessen&gt;=$K$49,vgemessen&lt;$L$49,Ergebnis=0)</f>
        <v>#VALUE!</v>
      </c>
      <c r="AF49" s="129" t="e">
        <f>AND(vgemessen&gt;=$K$49,vgemessen&lt;$L$49,Ergebnis=1)</f>
        <v>#VALUE!</v>
      </c>
      <c r="AH49" s="91">
        <f t="shared" si="8"/>
        <v>1</v>
      </c>
      <c r="AI49" s="80">
        <f t="shared" si="9"/>
        <v>3</v>
      </c>
      <c r="AJ49" s="92">
        <f t="shared" si="17"/>
        <v>2</v>
      </c>
      <c r="AL49" s="111">
        <f t="shared" si="10"/>
        <v>0</v>
      </c>
      <c r="AM49" s="112">
        <f t="shared" si="18"/>
        <v>0</v>
      </c>
      <c r="AN49" s="112">
        <f t="shared" si="19"/>
        <v>0</v>
      </c>
      <c r="AO49" s="113">
        <f t="shared" si="20"/>
        <v>0</v>
      </c>
      <c r="AQ49" s="111" t="str">
        <f t="shared" si="11"/>
        <v/>
      </c>
      <c r="AR49" s="124" t="str">
        <f t="shared" si="21"/>
        <v/>
      </c>
      <c r="AS49" s="124" t="str">
        <f t="shared" si="22"/>
        <v/>
      </c>
      <c r="AT49" s="124" t="str">
        <f t="shared" ref="AT49:AT53" si="28">IF(AND($AJ49=2,OR($AQ50="zählt",$AQ51="zählt")),AL49,"")</f>
        <v/>
      </c>
      <c r="AU49" s="125" t="str">
        <f t="shared" si="15"/>
        <v/>
      </c>
    </row>
    <row r="50" spans="1:236" ht="12.95" customHeight="1" x14ac:dyDescent="0.2">
      <c r="C50" s="79" t="s">
        <v>83</v>
      </c>
      <c r="D50" s="70">
        <f>K24</f>
        <v>0</v>
      </c>
      <c r="E50" s="35" t="s">
        <v>78</v>
      </c>
      <c r="F50" s="46"/>
      <c r="G50" s="47"/>
      <c r="H50" s="47"/>
      <c r="I50" s="47"/>
      <c r="K50" s="51">
        <f t="shared" si="16"/>
        <v>130</v>
      </c>
      <c r="L50" s="52">
        <f t="shared" si="0"/>
        <v>135</v>
      </c>
      <c r="M50" s="138">
        <f t="shared" si="1"/>
        <v>0</v>
      </c>
      <c r="N50" s="141">
        <f t="shared" si="2"/>
        <v>0</v>
      </c>
      <c r="O50" s="18">
        <f t="shared" si="23"/>
        <v>0</v>
      </c>
      <c r="P50" s="18">
        <f t="shared" si="24"/>
        <v>0</v>
      </c>
      <c r="Q50" s="19">
        <f t="shared" si="25"/>
        <v>0</v>
      </c>
      <c r="R50" s="47">
        <f t="shared" si="26"/>
        <v>0</v>
      </c>
      <c r="S50" s="10">
        <f t="shared" si="27"/>
        <v>0</v>
      </c>
      <c r="U50" s="178" t="s">
        <v>20</v>
      </c>
      <c r="V50" s="178"/>
      <c r="W50" s="178"/>
      <c r="X50" s="178"/>
      <c r="Y50" s="178"/>
      <c r="Z50" s="88"/>
      <c r="AA50" s="1" t="s">
        <v>5</v>
      </c>
      <c r="AB50" s="60" t="str">
        <f>(IF(Z50&lt;&gt;"",NORMDIST(Z50,$R$58,MAX($R$59,0.0001),TRUE)*100,"n.def."))</f>
        <v>n.def.</v>
      </c>
      <c r="AC50" s="1" t="s">
        <v>4</v>
      </c>
      <c r="AD50" s="85"/>
      <c r="AE50" s="89" t="e">
        <f>AND(vgemessen&gt;=$K$50,vgemessen&lt;$L$50,Ergebnis=0)</f>
        <v>#VALUE!</v>
      </c>
      <c r="AF50" s="129" t="e">
        <f>AND(vgemessen&gt;=$K$50,vgemessen&lt;$L$50,Ergebnis=1)</f>
        <v>#VALUE!</v>
      </c>
      <c r="AH50" s="91">
        <f t="shared" si="8"/>
        <v>1</v>
      </c>
      <c r="AI50" s="80">
        <f t="shared" si="9"/>
        <v>3</v>
      </c>
      <c r="AJ50" s="92">
        <f t="shared" si="17"/>
        <v>2</v>
      </c>
      <c r="AL50" s="111">
        <f t="shared" si="10"/>
        <v>0</v>
      </c>
      <c r="AM50" s="112">
        <f t="shared" si="18"/>
        <v>0</v>
      </c>
      <c r="AN50" s="112">
        <f t="shared" si="19"/>
        <v>0</v>
      </c>
      <c r="AO50" s="113">
        <f t="shared" si="20"/>
        <v>0</v>
      </c>
      <c r="AQ50" s="111" t="str">
        <f t="shared" si="11"/>
        <v/>
      </c>
      <c r="AR50" s="124" t="str">
        <f t="shared" si="21"/>
        <v/>
      </c>
      <c r="AS50" s="124" t="str">
        <f t="shared" si="22"/>
        <v/>
      </c>
      <c r="AT50" s="124" t="str">
        <f t="shared" si="28"/>
        <v/>
      </c>
      <c r="AU50" s="125" t="str">
        <f t="shared" si="15"/>
        <v/>
      </c>
    </row>
    <row r="51" spans="1:236" ht="12.95" customHeight="1" x14ac:dyDescent="0.2">
      <c r="A51" s="81"/>
      <c r="B51" s="81"/>
      <c r="C51" s="79" t="s">
        <v>37</v>
      </c>
      <c r="D51" s="53">
        <f>DMIN(Eingabe,"vgemessen",I19:I20)</f>
        <v>0</v>
      </c>
      <c r="E51" s="35" t="s">
        <v>39</v>
      </c>
      <c r="F51" s="38"/>
      <c r="G51" s="35"/>
      <c r="H51" s="35"/>
      <c r="I51" s="35"/>
      <c r="K51" s="51">
        <f t="shared" si="16"/>
        <v>135</v>
      </c>
      <c r="L51" s="52">
        <f t="shared" si="0"/>
        <v>140</v>
      </c>
      <c r="M51" s="138">
        <f t="shared" si="1"/>
        <v>0</v>
      </c>
      <c r="N51" s="141">
        <f t="shared" si="2"/>
        <v>0</v>
      </c>
      <c r="O51" s="18">
        <f t="shared" si="23"/>
        <v>0</v>
      </c>
      <c r="P51" s="18">
        <f t="shared" si="24"/>
        <v>0</v>
      </c>
      <c r="Q51" s="19">
        <f t="shared" si="25"/>
        <v>0</v>
      </c>
      <c r="R51" s="47">
        <f t="shared" si="26"/>
        <v>0</v>
      </c>
      <c r="S51" s="10">
        <f t="shared" si="27"/>
        <v>0</v>
      </c>
      <c r="U51" s="180"/>
      <c r="V51" s="180"/>
      <c r="W51" s="180"/>
      <c r="X51" s="180"/>
      <c r="Y51" s="180"/>
      <c r="Z51" s="180"/>
      <c r="AA51" s="180"/>
      <c r="AB51" s="180"/>
      <c r="AC51" s="180"/>
      <c r="AD51" s="131"/>
      <c r="AE51" s="89" t="e">
        <f>AND(vgemessen&gt;=$K$51,vgemessen&lt;$L$51,Ergebnis=0)</f>
        <v>#VALUE!</v>
      </c>
      <c r="AF51" s="129" t="e">
        <f>AND(vgemessen&gt;=$K$51,vgemessen&lt;$L$51,Ergebnis=1)</f>
        <v>#VALUE!</v>
      </c>
      <c r="AH51" s="91">
        <f t="shared" si="8"/>
        <v>1</v>
      </c>
      <c r="AI51" s="80">
        <f t="shared" si="9"/>
        <v>3</v>
      </c>
      <c r="AJ51" s="92">
        <f t="shared" si="17"/>
        <v>2</v>
      </c>
      <c r="AL51" s="111">
        <f t="shared" si="10"/>
        <v>0</v>
      </c>
      <c r="AM51" s="112">
        <f t="shared" si="18"/>
        <v>0</v>
      </c>
      <c r="AN51" s="112">
        <f t="shared" si="19"/>
        <v>0</v>
      </c>
      <c r="AO51" s="113">
        <f t="shared" si="20"/>
        <v>0</v>
      </c>
      <c r="AQ51" s="111" t="str">
        <f t="shared" si="11"/>
        <v/>
      </c>
      <c r="AR51" s="124" t="str">
        <f t="shared" si="21"/>
        <v/>
      </c>
      <c r="AS51" s="124" t="str">
        <f t="shared" si="22"/>
        <v/>
      </c>
      <c r="AT51" s="124">
        <f t="shared" si="28"/>
        <v>0</v>
      </c>
      <c r="AU51" s="125" t="str">
        <f>IF(AND($AJ51=3,OR($AQ50="zählt",$AQ49="zählt")),AL51,"")</f>
        <v/>
      </c>
    </row>
    <row r="52" spans="1:236" ht="12.95" customHeight="1" x14ac:dyDescent="0.2">
      <c r="C52" s="79" t="s">
        <v>33</v>
      </c>
      <c r="D52" s="53">
        <f>DMAX(Eingabe,"vgemessen",I19:I20)</f>
        <v>0</v>
      </c>
      <c r="E52" s="35" t="s">
        <v>34</v>
      </c>
      <c r="F52" s="35"/>
      <c r="G52" s="35"/>
      <c r="H52" s="35"/>
      <c r="I52" s="35"/>
      <c r="K52" s="51">
        <f t="shared" si="16"/>
        <v>140</v>
      </c>
      <c r="L52" s="52">
        <f t="shared" si="0"/>
        <v>145</v>
      </c>
      <c r="M52" s="138">
        <f t="shared" si="1"/>
        <v>0</v>
      </c>
      <c r="N52" s="141">
        <f t="shared" si="2"/>
        <v>0</v>
      </c>
      <c r="O52" s="18">
        <f t="shared" si="23"/>
        <v>0</v>
      </c>
      <c r="P52" s="18">
        <f t="shared" si="24"/>
        <v>0</v>
      </c>
      <c r="Q52" s="19">
        <f t="shared" si="25"/>
        <v>0</v>
      </c>
      <c r="R52" s="47">
        <f t="shared" si="26"/>
        <v>0</v>
      </c>
      <c r="S52" s="10">
        <f t="shared" si="27"/>
        <v>0</v>
      </c>
      <c r="U52" s="78"/>
      <c r="V52" s="131"/>
      <c r="W52" s="131"/>
      <c r="AC52" s="131"/>
      <c r="AE52" s="89" t="e">
        <f>AND(vgemessen&gt;=$K$52,vgemessen&lt;$L$52,Ergebnis=0)</f>
        <v>#VALUE!</v>
      </c>
      <c r="AF52" s="129" t="e">
        <f>AND(vgemessen&gt;=$K$52,vgemessen&lt;$L$52,Ergebnis=1)</f>
        <v>#VALUE!</v>
      </c>
      <c r="AH52" s="91">
        <f t="shared" si="8"/>
        <v>1</v>
      </c>
      <c r="AI52" s="80">
        <f t="shared" si="9"/>
        <v>3</v>
      </c>
      <c r="AJ52" s="92">
        <f t="shared" si="17"/>
        <v>2</v>
      </c>
      <c r="AL52" s="111">
        <f t="shared" si="10"/>
        <v>0</v>
      </c>
      <c r="AM52" s="112">
        <f t="shared" si="18"/>
        <v>0</v>
      </c>
      <c r="AN52" s="112">
        <f t="shared" si="19"/>
        <v>0</v>
      </c>
      <c r="AO52" s="113">
        <f t="shared" si="20"/>
        <v>0</v>
      </c>
      <c r="AQ52" s="111" t="str">
        <f t="shared" si="11"/>
        <v/>
      </c>
      <c r="AR52" s="124" t="str">
        <f t="shared" si="21"/>
        <v/>
      </c>
      <c r="AS52" s="124" t="str">
        <f t="shared" si="22"/>
        <v/>
      </c>
      <c r="AT52" s="124">
        <f t="shared" si="28"/>
        <v>0</v>
      </c>
      <c r="AU52" s="125" t="str">
        <f t="shared" ref="AU52:AU53" si="29">IF(AND($AJ52=3,OR($AQ51="zählt",$AQ50="zählt")),AL52,"")</f>
        <v/>
      </c>
    </row>
    <row r="53" spans="1:236" ht="12.95" customHeight="1" thickBot="1" x14ac:dyDescent="0.25">
      <c r="C53" s="79" t="s">
        <v>36</v>
      </c>
      <c r="D53" s="53">
        <f>DMIN(Eingabe,"vgemessen",I21:I22)</f>
        <v>0</v>
      </c>
      <c r="E53" s="35" t="s">
        <v>35</v>
      </c>
      <c r="F53" s="35"/>
      <c r="G53" s="38"/>
      <c r="H53" s="38"/>
      <c r="I53" s="38"/>
      <c r="K53" s="55">
        <f t="shared" si="16"/>
        <v>145</v>
      </c>
      <c r="L53" s="69">
        <f t="shared" si="0"/>
        <v>150</v>
      </c>
      <c r="M53" s="143">
        <f t="shared" si="1"/>
        <v>0</v>
      </c>
      <c r="N53" s="144">
        <f t="shared" si="2"/>
        <v>0</v>
      </c>
      <c r="O53" s="3">
        <f>IF(+M53+N53&gt;0,+N53/(M53+N53),O52)</f>
        <v>0</v>
      </c>
      <c r="P53" s="3">
        <f>O53-O52</f>
        <v>0</v>
      </c>
      <c r="Q53" s="4">
        <f>IF(+M52+N52&gt;0,K52,Q52)</f>
        <v>0</v>
      </c>
      <c r="R53" s="5">
        <f>P53*((Q53+L53)/2)</f>
        <v>0</v>
      </c>
      <c r="S53" s="6">
        <f>P53*(($R$55-(Q53+L53)/2)^2)</f>
        <v>0</v>
      </c>
      <c r="U53" s="172" t="s">
        <v>103</v>
      </c>
      <c r="V53" s="172"/>
      <c r="W53" s="172"/>
      <c r="X53" s="172"/>
      <c r="Y53" s="172"/>
      <c r="Z53" s="172"/>
      <c r="AA53" s="172"/>
      <c r="AB53" s="172"/>
      <c r="AC53" s="172"/>
      <c r="AE53" s="90" t="e">
        <f>AND(vgemessen&gt;=$K$53,vgemessen&lt;$L$53,Ergebnis=0)</f>
        <v>#VALUE!</v>
      </c>
      <c r="AF53" s="130" t="e">
        <f>AND(vgemessen&gt;=$K$53,vgemessen&lt;$L$53,Ergebnis=1)</f>
        <v>#VALUE!</v>
      </c>
      <c r="AH53" s="93">
        <f t="shared" si="8"/>
        <v>1</v>
      </c>
      <c r="AI53" s="94">
        <f t="shared" si="9"/>
        <v>3</v>
      </c>
      <c r="AJ53" s="95">
        <f t="shared" si="17"/>
        <v>2</v>
      </c>
      <c r="AL53" s="114">
        <f t="shared" si="10"/>
        <v>0</v>
      </c>
      <c r="AM53" s="115">
        <f t="shared" si="18"/>
        <v>0</v>
      </c>
      <c r="AN53" s="115">
        <f t="shared" si="19"/>
        <v>0</v>
      </c>
      <c r="AO53" s="116">
        <f t="shared" si="20"/>
        <v>0</v>
      </c>
      <c r="AQ53" s="114" t="str">
        <f t="shared" si="11"/>
        <v>zählt</v>
      </c>
      <c r="AR53" s="126" t="str">
        <f t="shared" si="21"/>
        <v/>
      </c>
      <c r="AS53" s="126" t="str">
        <f t="shared" si="22"/>
        <v/>
      </c>
      <c r="AT53" s="126" t="str">
        <f t="shared" si="28"/>
        <v/>
      </c>
      <c r="AU53" s="127" t="str">
        <f t="shared" si="29"/>
        <v/>
      </c>
    </row>
    <row r="54" spans="1:236" ht="12.95" customHeight="1" thickBot="1" x14ac:dyDescent="0.25">
      <c r="C54" s="79" t="s">
        <v>38</v>
      </c>
      <c r="D54" s="53">
        <f>DMAX(Eingabe,"vgemessen",I21:I22)</f>
        <v>0</v>
      </c>
      <c r="E54" s="35" t="s">
        <v>40</v>
      </c>
      <c r="F54" s="38"/>
      <c r="K54" s="85"/>
      <c r="L54" s="85"/>
      <c r="M54" s="7"/>
      <c r="N54" s="8"/>
      <c r="O54" s="1"/>
      <c r="P54" s="1"/>
      <c r="Q54" s="1"/>
      <c r="R54" s="9"/>
      <c r="S54" s="10"/>
      <c r="U54" s="173"/>
      <c r="V54" s="173"/>
      <c r="W54" s="173"/>
      <c r="X54" s="173"/>
      <c r="Y54" s="173"/>
      <c r="Z54" s="173"/>
      <c r="AA54" s="173"/>
      <c r="AB54" s="173"/>
      <c r="AC54" s="173"/>
      <c r="AH54" s="71"/>
      <c r="AI54" s="46"/>
      <c r="AJ54" s="118">
        <v>3</v>
      </c>
      <c r="AL54" s="114">
        <f>SUM(AL24:AL53)</f>
        <v>0</v>
      </c>
      <c r="AM54" s="115">
        <f t="shared" ref="AM54:AN54" si="30">MAX(AM24:AM53)</f>
        <v>0</v>
      </c>
      <c r="AN54" s="115">
        <f t="shared" si="30"/>
        <v>0</v>
      </c>
      <c r="AO54" s="116">
        <f>MAX(AO24:AO53)</f>
        <v>0</v>
      </c>
      <c r="AQ54" s="46"/>
      <c r="AR54" s="35">
        <f>COUNTIF(AR24:AR53,0)</f>
        <v>0</v>
      </c>
      <c r="AS54" s="35">
        <f t="shared" ref="AS54:AU54" si="31">COUNTIF(AS24:AS53,0)</f>
        <v>2</v>
      </c>
      <c r="AT54" s="35">
        <f t="shared" si="31"/>
        <v>2</v>
      </c>
      <c r="AU54" s="35">
        <f t="shared" si="31"/>
        <v>0</v>
      </c>
    </row>
    <row r="55" spans="1:236" ht="12.95" customHeight="1" thickBot="1" x14ac:dyDescent="0.25">
      <c r="C55" s="79" t="s">
        <v>82</v>
      </c>
      <c r="D55" s="73">
        <f>MAX('v50'!L24:L53)</f>
        <v>150</v>
      </c>
      <c r="E55" s="35" t="s">
        <v>77</v>
      </c>
      <c r="K55" s="85"/>
      <c r="L55" s="72" t="s">
        <v>79</v>
      </c>
      <c r="M55" s="11">
        <f>SUM(M24:M54)</f>
        <v>0</v>
      </c>
      <c r="N55" s="12">
        <f>SUM(N24:N54)</f>
        <v>0</v>
      </c>
      <c r="O55" s="1"/>
      <c r="P55" s="1"/>
      <c r="Q55" s="1"/>
      <c r="R55" s="9">
        <f>SUM(R24:R54)</f>
        <v>0</v>
      </c>
      <c r="S55" s="10">
        <f>SQRT(SUM(S24:S54))</f>
        <v>0</v>
      </c>
      <c r="U55" s="173"/>
      <c r="V55" s="173"/>
      <c r="W55" s="173"/>
      <c r="X55" s="173"/>
      <c r="Y55" s="173"/>
      <c r="Z55" s="173"/>
      <c r="AA55" s="173"/>
      <c r="AB55" s="173"/>
      <c r="AC55" s="173"/>
      <c r="AD55" s="131"/>
      <c r="AH55" s="46"/>
      <c r="AI55" s="46"/>
      <c r="AJ55" s="46"/>
      <c r="AL55" s="46"/>
      <c r="AM55" s="175">
        <f>SUM(AM54:AO54)</f>
        <v>0</v>
      </c>
      <c r="AN55" s="176"/>
      <c r="AO55" s="177"/>
      <c r="AQ55" s="46"/>
    </row>
    <row r="56" spans="1:236" ht="12.95" customHeight="1" thickBot="1" x14ac:dyDescent="0.25">
      <c r="C56" s="79" t="s">
        <v>42</v>
      </c>
      <c r="D56" s="53">
        <f>D57+D58</f>
        <v>0</v>
      </c>
      <c r="E56" s="35" t="s">
        <v>62</v>
      </c>
      <c r="F56" s="38"/>
      <c r="K56" s="85"/>
      <c r="L56" s="85"/>
      <c r="M56" s="13"/>
      <c r="N56" s="14"/>
      <c r="O56" s="1"/>
      <c r="P56" s="1"/>
      <c r="Q56" s="1"/>
      <c r="R56" s="15"/>
      <c r="S56" s="16"/>
      <c r="U56" s="173"/>
      <c r="V56" s="173"/>
      <c r="W56" s="173"/>
      <c r="X56" s="173"/>
      <c r="Y56" s="173"/>
      <c r="Z56" s="173"/>
      <c r="AA56" s="173"/>
      <c r="AB56" s="173"/>
      <c r="AC56" s="173"/>
      <c r="AD56" s="1"/>
      <c r="AH56" s="46"/>
      <c r="AI56" s="46"/>
      <c r="AJ56" s="46"/>
      <c r="AL56" s="145"/>
      <c r="AM56" s="145"/>
      <c r="AN56" s="145"/>
      <c r="AO56" s="145"/>
      <c r="AQ56" s="46"/>
    </row>
    <row r="57" spans="1:236" ht="12.95" customHeight="1" thickTop="1" x14ac:dyDescent="0.2">
      <c r="C57" s="79" t="s">
        <v>12</v>
      </c>
      <c r="D57" s="53">
        <f>KD</f>
        <v>0</v>
      </c>
      <c r="E57" s="54" t="s">
        <v>46</v>
      </c>
      <c r="K57" s="85"/>
      <c r="L57" s="72" t="s">
        <v>80</v>
      </c>
      <c r="M57" s="251">
        <f>KD+DS</f>
        <v>0</v>
      </c>
      <c r="N57" s="252"/>
      <c r="O57" s="1"/>
      <c r="P57" s="1"/>
      <c r="Q57" s="1"/>
      <c r="R57" s="1"/>
      <c r="S57" s="1"/>
      <c r="U57" s="174"/>
      <c r="V57" s="174"/>
      <c r="W57" s="174"/>
      <c r="X57" s="174"/>
      <c r="Y57" s="174"/>
      <c r="Z57" s="174"/>
      <c r="AA57" s="174"/>
      <c r="AB57" s="174"/>
      <c r="AC57" s="174"/>
      <c r="AD57" s="44"/>
      <c r="AH57" s="50"/>
      <c r="AI57" s="50"/>
      <c r="AJ57" s="145"/>
      <c r="AK57" s="145"/>
      <c r="AL57" s="1"/>
      <c r="AM57" s="1"/>
      <c r="AN57" s="1"/>
      <c r="AO57" s="1"/>
    </row>
    <row r="58" spans="1:236" ht="12.95" customHeight="1" x14ac:dyDescent="0.2">
      <c r="C58" s="79" t="s">
        <v>11</v>
      </c>
      <c r="D58" s="53">
        <f>DS</f>
        <v>0</v>
      </c>
      <c r="E58" s="54" t="s">
        <v>47</v>
      </c>
      <c r="K58" s="85"/>
      <c r="L58" s="85"/>
      <c r="M58" s="1"/>
      <c r="N58" s="17"/>
      <c r="O58" s="17"/>
      <c r="P58" s="1"/>
      <c r="Q58" s="77" t="s">
        <v>23</v>
      </c>
      <c r="R58" s="56">
        <f>R55</f>
        <v>0</v>
      </c>
      <c r="S58" s="1" t="s">
        <v>5</v>
      </c>
      <c r="U58" s="174"/>
      <c r="V58" s="174"/>
      <c r="W58" s="174"/>
      <c r="X58" s="174"/>
      <c r="Y58" s="174"/>
      <c r="Z58" s="174"/>
      <c r="AA58" s="174"/>
      <c r="AB58" s="174"/>
      <c r="AC58" s="174"/>
      <c r="AH58" s="1"/>
      <c r="AI58" s="1"/>
      <c r="AJ58" s="1"/>
      <c r="AK58" s="1"/>
      <c r="AL58" s="1"/>
      <c r="AM58" s="1"/>
      <c r="AN58" s="1"/>
      <c r="AO58" s="1"/>
      <c r="AP58" s="1"/>
    </row>
    <row r="59" spans="1:236" s="17" customFormat="1" ht="12.95" customHeight="1" x14ac:dyDescent="0.2">
      <c r="A59" s="202" t="s">
        <v>61</v>
      </c>
      <c r="B59" s="202"/>
      <c r="C59" s="202"/>
      <c r="D59" s="202"/>
      <c r="E59" s="202"/>
      <c r="F59" s="202"/>
      <c r="G59" s="202"/>
      <c r="H59" s="202"/>
      <c r="I59" s="202"/>
      <c r="K59" s="1"/>
      <c r="L59" s="1"/>
      <c r="M59" s="1"/>
      <c r="N59" s="1"/>
      <c r="P59" s="1"/>
      <c r="Q59" s="77" t="s">
        <v>24</v>
      </c>
      <c r="R59" s="56">
        <f>IF(M55+N55&gt;0,S55*(1.71-0.151*LN(M55+N55)),0)</f>
        <v>0</v>
      </c>
      <c r="S59" s="1" t="s">
        <v>5</v>
      </c>
      <c r="U59" s="174"/>
      <c r="V59" s="174"/>
      <c r="W59" s="174"/>
      <c r="X59" s="174"/>
      <c r="Y59" s="174"/>
      <c r="Z59" s="174"/>
      <c r="AA59" s="174"/>
      <c r="AB59" s="174"/>
      <c r="AC59" s="174"/>
      <c r="AD59" s="44"/>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62"/>
      <c r="HY59" s="62"/>
      <c r="HZ59" s="62"/>
      <c r="IA59" s="62"/>
      <c r="IB59" s="62"/>
    </row>
    <row r="60" spans="1:236" s="17" customFormat="1" ht="12.95" customHeight="1" x14ac:dyDescent="0.2">
      <c r="A60" s="202"/>
      <c r="B60" s="202"/>
      <c r="C60" s="202"/>
      <c r="D60" s="202"/>
      <c r="E60" s="202"/>
      <c r="F60" s="202"/>
      <c r="G60" s="202"/>
      <c r="H60" s="202"/>
      <c r="I60" s="202"/>
      <c r="K60" s="42"/>
      <c r="L60" s="146"/>
      <c r="M60" s="146"/>
      <c r="N60" s="146"/>
      <c r="O60" s="146"/>
      <c r="P60" s="146"/>
      <c r="Q60" s="146"/>
      <c r="R60" s="146"/>
      <c r="S60" s="146"/>
      <c r="U60" s="174"/>
      <c r="V60" s="174"/>
      <c r="W60" s="174"/>
      <c r="X60" s="174"/>
      <c r="Y60" s="174"/>
      <c r="Z60" s="174"/>
      <c r="AA60" s="174"/>
      <c r="AB60" s="174"/>
      <c r="AC60" s="174"/>
      <c r="AD60" s="1"/>
      <c r="AE60" s="1"/>
      <c r="AF60" s="1"/>
      <c r="AG60" s="1"/>
      <c r="AH60" s="1"/>
      <c r="AI60" s="1"/>
      <c r="AJ60" s="1"/>
      <c r="AK60" s="1"/>
      <c r="AL60" s="42"/>
      <c r="AM60" s="42"/>
      <c r="AN60" s="42"/>
      <c r="AO60" s="42"/>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row>
    <row r="61" spans="1:236" s="17" customFormat="1" ht="12.95" customHeight="1" x14ac:dyDescent="0.2">
      <c r="A61" s="202"/>
      <c r="B61" s="202"/>
      <c r="C61" s="202"/>
      <c r="D61" s="202"/>
      <c r="E61" s="202"/>
      <c r="F61" s="202"/>
      <c r="G61" s="202"/>
      <c r="H61" s="202"/>
      <c r="I61" s="202"/>
      <c r="K61" s="36"/>
      <c r="L61" s="36"/>
      <c r="M61" s="39"/>
      <c r="N61" s="39"/>
      <c r="O61" s="39"/>
      <c r="P61" s="39"/>
      <c r="Q61" s="39"/>
      <c r="R61" s="39"/>
      <c r="S61" s="39"/>
      <c r="U61" s="174"/>
      <c r="V61" s="174"/>
      <c r="W61" s="174"/>
      <c r="X61" s="174"/>
      <c r="Y61" s="174"/>
      <c r="Z61" s="174"/>
      <c r="AA61" s="174"/>
      <c r="AB61" s="174"/>
      <c r="AC61" s="174"/>
      <c r="AD61" s="35"/>
      <c r="AE61" s="1"/>
      <c r="AF61" s="1"/>
      <c r="AG61" s="1"/>
      <c r="AH61" s="42"/>
      <c r="AI61" s="42"/>
      <c r="AJ61" s="42"/>
      <c r="AK61" s="42"/>
      <c r="AL61" s="131"/>
      <c r="AM61" s="131"/>
      <c r="AN61" s="131"/>
      <c r="AO61" s="13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row>
    <row r="62" spans="1:236" s="17" customFormat="1" ht="12.95" customHeight="1" x14ac:dyDescent="0.2">
      <c r="A62" s="57"/>
      <c r="B62" s="57"/>
      <c r="C62" s="58"/>
      <c r="D62" s="58"/>
      <c r="E62" s="58"/>
      <c r="F62" s="58"/>
      <c r="G62" s="58"/>
      <c r="H62" s="58"/>
      <c r="I62" s="58"/>
      <c r="J62" s="59"/>
      <c r="K62" s="36"/>
      <c r="L62" s="36"/>
      <c r="M62" s="39"/>
      <c r="N62" s="39"/>
      <c r="O62" s="39"/>
      <c r="P62" s="39"/>
      <c r="Q62" s="39"/>
      <c r="R62" s="39"/>
      <c r="S62" s="39"/>
      <c r="U62" s="81"/>
      <c r="V62" s="81"/>
      <c r="W62" s="35"/>
      <c r="X62" s="35"/>
      <c r="Y62" s="35"/>
      <c r="Z62" s="35"/>
      <c r="AA62" s="35"/>
      <c r="AB62" s="35"/>
      <c r="AC62" s="35"/>
      <c r="AD62" s="35"/>
      <c r="AE62" s="1"/>
      <c r="AF62" s="1"/>
      <c r="AG62" s="1"/>
      <c r="AH62" s="131"/>
      <c r="AI62" s="131"/>
      <c r="AJ62" s="131"/>
      <c r="AK62" s="131"/>
      <c r="AL62" s="131"/>
      <c r="AM62" s="131"/>
      <c r="AN62" s="131"/>
      <c r="AO62" s="13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row>
    <row r="63" spans="1:236" s="17" customFormat="1" ht="12.95" customHeight="1" x14ac:dyDescent="0.2">
      <c r="A63" s="219" t="s">
        <v>21</v>
      </c>
      <c r="B63" s="220"/>
      <c r="C63" s="220"/>
      <c r="D63" s="220"/>
      <c r="E63" s="220"/>
      <c r="F63" s="220"/>
      <c r="G63" s="220"/>
      <c r="H63" s="220"/>
      <c r="I63" s="220"/>
      <c r="J63" s="59"/>
      <c r="K63" s="36"/>
      <c r="L63" s="36"/>
      <c r="M63" s="39"/>
      <c r="N63" s="39"/>
      <c r="O63" s="39"/>
      <c r="P63" s="39"/>
      <c r="Q63" s="39"/>
      <c r="R63" s="39"/>
      <c r="S63" s="39"/>
      <c r="U63" s="81"/>
      <c r="V63" s="81"/>
      <c r="W63" s="35"/>
      <c r="X63" s="35"/>
      <c r="Y63" s="35"/>
      <c r="Z63" s="35"/>
      <c r="AA63" s="35"/>
      <c r="AB63" s="35"/>
      <c r="AC63" s="35"/>
      <c r="AD63" s="35"/>
      <c r="AE63" s="1"/>
      <c r="AF63" s="1"/>
      <c r="AG63" s="1"/>
      <c r="AH63" s="131"/>
      <c r="AI63" s="131"/>
      <c r="AJ63" s="131"/>
      <c r="AK63" s="131"/>
      <c r="AL63" s="131"/>
      <c r="AM63" s="131"/>
      <c r="AN63" s="131"/>
      <c r="AO63" s="13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row>
    <row r="64" spans="1:236" s="17" customFormat="1" ht="12.95" customHeight="1" x14ac:dyDescent="0.2">
      <c r="A64" s="220"/>
      <c r="B64" s="220"/>
      <c r="C64" s="220"/>
      <c r="D64" s="220"/>
      <c r="E64" s="220"/>
      <c r="F64" s="220"/>
      <c r="G64" s="220"/>
      <c r="H64" s="220"/>
      <c r="I64" s="220"/>
      <c r="J64" s="59"/>
      <c r="K64" s="36"/>
      <c r="L64" s="36"/>
      <c r="M64" s="39"/>
      <c r="N64" s="39"/>
      <c r="O64" s="39"/>
      <c r="P64" s="39"/>
      <c r="Q64" s="39"/>
      <c r="R64" s="39"/>
      <c r="S64" s="39"/>
      <c r="U64" s="81"/>
      <c r="V64" s="81"/>
      <c r="W64" s="35"/>
      <c r="X64" s="35"/>
      <c r="Y64" s="35"/>
      <c r="Z64" s="35"/>
      <c r="AA64" s="35"/>
      <c r="AB64" s="35"/>
      <c r="AC64" s="35"/>
      <c r="AD64" s="35"/>
      <c r="AE64" s="1"/>
      <c r="AF64" s="1"/>
      <c r="AG64" s="1"/>
      <c r="AH64" s="131"/>
      <c r="AI64" s="131"/>
      <c r="AJ64" s="131"/>
      <c r="AK64" s="131"/>
      <c r="AL64" s="131"/>
      <c r="AM64" s="131"/>
      <c r="AN64" s="131"/>
      <c r="AO64" s="13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row>
    <row r="65" spans="1:236" s="17" customFormat="1" ht="12.95" customHeight="1" x14ac:dyDescent="0.2">
      <c r="A65" s="220"/>
      <c r="B65" s="220"/>
      <c r="C65" s="220"/>
      <c r="D65" s="220"/>
      <c r="E65" s="220"/>
      <c r="F65" s="220"/>
      <c r="G65" s="220"/>
      <c r="H65" s="220"/>
      <c r="I65" s="220"/>
      <c r="J65" s="59"/>
      <c r="M65" s="39"/>
      <c r="N65" s="39"/>
      <c r="O65" s="39"/>
      <c r="P65" s="39"/>
      <c r="Q65" s="39"/>
      <c r="R65" s="39"/>
      <c r="S65" s="39"/>
      <c r="U65" s="81"/>
      <c r="V65" s="81"/>
      <c r="W65" s="35"/>
      <c r="X65" s="35"/>
      <c r="Y65" s="35"/>
      <c r="Z65" s="35"/>
      <c r="AA65" s="35"/>
      <c r="AB65" s="35"/>
      <c r="AC65" s="35"/>
      <c r="AD65" s="35"/>
      <c r="AE65" s="1"/>
      <c r="AF65" s="1"/>
      <c r="AG65" s="1"/>
      <c r="AH65" s="131"/>
      <c r="AI65" s="131"/>
      <c r="AJ65" s="131"/>
      <c r="AK65" s="131"/>
      <c r="AL65" s="131"/>
      <c r="AM65" s="131"/>
      <c r="AN65" s="131"/>
      <c r="AO65" s="13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2"/>
      <c r="EQ65" s="62"/>
      <c r="ER65" s="62"/>
      <c r="ES65" s="62"/>
      <c r="ET65" s="62"/>
      <c r="EU65" s="62"/>
      <c r="EV65" s="62"/>
      <c r="EW65" s="62"/>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62"/>
      <c r="HC65" s="62"/>
      <c r="HD65" s="62"/>
      <c r="HE65" s="62"/>
      <c r="HF65" s="62"/>
      <c r="HG65" s="62"/>
      <c r="HH65" s="62"/>
      <c r="HI65" s="62"/>
      <c r="HJ65" s="62"/>
      <c r="HK65" s="62"/>
      <c r="HL65" s="62"/>
      <c r="HM65" s="62"/>
      <c r="HN65" s="62"/>
      <c r="HO65" s="62"/>
      <c r="HP65" s="62"/>
      <c r="HQ65" s="62"/>
      <c r="HR65" s="62"/>
      <c r="HS65" s="62"/>
      <c r="HT65" s="62"/>
      <c r="HU65" s="62"/>
      <c r="HV65" s="62"/>
      <c r="HW65" s="62"/>
      <c r="HX65" s="62"/>
      <c r="HY65" s="62"/>
      <c r="HZ65" s="62"/>
      <c r="IA65" s="62"/>
      <c r="IB65" s="62"/>
    </row>
    <row r="66" spans="1:236" s="17" customFormat="1" ht="12.95" customHeight="1" x14ac:dyDescent="0.2">
      <c r="A66" s="220"/>
      <c r="B66" s="220"/>
      <c r="C66" s="220"/>
      <c r="D66" s="220"/>
      <c r="E66" s="220"/>
      <c r="F66" s="220"/>
      <c r="G66" s="220"/>
      <c r="H66" s="220"/>
      <c r="I66" s="220"/>
      <c r="J66" s="59"/>
      <c r="M66" s="39"/>
      <c r="N66" s="39"/>
      <c r="O66" s="39"/>
      <c r="P66" s="39"/>
      <c r="Q66" s="39"/>
      <c r="R66" s="39"/>
      <c r="S66" s="39"/>
      <c r="U66" s="81"/>
      <c r="V66" s="81"/>
      <c r="W66" s="35"/>
      <c r="X66" s="35"/>
      <c r="Y66" s="35"/>
      <c r="Z66" s="35"/>
      <c r="AA66" s="35"/>
      <c r="AB66" s="35"/>
      <c r="AC66" s="35"/>
      <c r="AD66" s="35"/>
      <c r="AE66" s="1"/>
      <c r="AF66" s="1"/>
      <c r="AG66" s="1"/>
      <c r="AH66" s="131"/>
      <c r="AI66" s="131"/>
      <c r="AJ66" s="131"/>
      <c r="AK66" s="131"/>
      <c r="AL66" s="131"/>
      <c r="AM66" s="131"/>
      <c r="AN66" s="131"/>
      <c r="AO66" s="13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row>
    <row r="67" spans="1:236" s="17" customFormat="1" ht="12.95" customHeight="1" x14ac:dyDescent="0.25">
      <c r="A67" s="220"/>
      <c r="B67" s="220"/>
      <c r="C67" s="220"/>
      <c r="D67" s="220"/>
      <c r="E67" s="220"/>
      <c r="F67" s="220"/>
      <c r="G67" s="220"/>
      <c r="H67" s="220"/>
      <c r="I67" s="220"/>
      <c r="J67" s="59"/>
      <c r="M67" s="39"/>
      <c r="N67" s="39"/>
      <c r="O67" s="67"/>
      <c r="P67" s="39"/>
      <c r="Q67" s="39"/>
      <c r="R67" s="39"/>
      <c r="S67" s="39"/>
      <c r="U67" s="81"/>
      <c r="V67" s="81"/>
      <c r="W67" s="35"/>
      <c r="X67" s="35"/>
      <c r="Y67" s="35"/>
      <c r="Z67" s="35"/>
      <c r="AA67" s="35"/>
      <c r="AB67" s="35"/>
      <c r="AC67" s="35"/>
      <c r="AD67" s="35"/>
      <c r="AE67" s="1"/>
      <c r="AF67" s="1"/>
      <c r="AG67" s="1"/>
      <c r="AH67" s="131"/>
      <c r="AI67" s="131"/>
      <c r="AJ67" s="131"/>
      <c r="AK67" s="131"/>
      <c r="AL67" s="131"/>
      <c r="AM67" s="131"/>
      <c r="AN67" s="131"/>
      <c r="AO67" s="13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c r="EO67" s="62"/>
      <c r="EP67" s="62"/>
      <c r="EQ67" s="62"/>
      <c r="ER67" s="62"/>
      <c r="ES67" s="62"/>
      <c r="ET67" s="62"/>
      <c r="EU67" s="62"/>
      <c r="EV67" s="62"/>
      <c r="EW67" s="62"/>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62"/>
      <c r="HC67" s="62"/>
      <c r="HD67" s="62"/>
      <c r="HE67" s="62"/>
      <c r="HF67" s="62"/>
      <c r="HG67" s="62"/>
      <c r="HH67" s="62"/>
      <c r="HI67" s="62"/>
      <c r="HJ67" s="62"/>
      <c r="HK67" s="62"/>
      <c r="HL67" s="62"/>
      <c r="HM67" s="62"/>
      <c r="HN67" s="62"/>
      <c r="HO67" s="62"/>
      <c r="HP67" s="62"/>
      <c r="HQ67" s="62"/>
      <c r="HR67" s="62"/>
      <c r="HS67" s="62"/>
      <c r="HT67" s="62"/>
      <c r="HU67" s="62"/>
      <c r="HV67" s="62"/>
      <c r="HW67" s="62"/>
      <c r="HX67" s="62"/>
      <c r="HY67" s="62"/>
      <c r="HZ67" s="62"/>
      <c r="IA67" s="62"/>
      <c r="IB67" s="62"/>
    </row>
    <row r="68" spans="1:236" s="17" customFormat="1" ht="12.95" customHeight="1" x14ac:dyDescent="0.2">
      <c r="A68" s="220"/>
      <c r="B68" s="220"/>
      <c r="C68" s="220"/>
      <c r="D68" s="220"/>
      <c r="E68" s="220"/>
      <c r="F68" s="220"/>
      <c r="G68" s="220"/>
      <c r="H68" s="220"/>
      <c r="I68" s="220"/>
      <c r="J68" s="59"/>
      <c r="M68" s="39"/>
      <c r="N68" s="39"/>
      <c r="O68" s="39"/>
      <c r="P68" s="39"/>
      <c r="Q68" s="39"/>
      <c r="R68" s="39"/>
      <c r="S68" s="39"/>
      <c r="U68" s="81"/>
      <c r="V68" s="81"/>
      <c r="W68" s="35"/>
      <c r="X68" s="35"/>
      <c r="Y68" s="35"/>
      <c r="Z68" s="35"/>
      <c r="AA68" s="35"/>
      <c r="AB68" s="35"/>
      <c r="AC68" s="35"/>
      <c r="AD68" s="35"/>
      <c r="AE68" s="1"/>
      <c r="AF68" s="1"/>
      <c r="AG68" s="1"/>
      <c r="AH68" s="131"/>
      <c r="AI68" s="131"/>
      <c r="AJ68" s="131"/>
      <c r="AK68" s="131"/>
      <c r="AL68" s="131"/>
      <c r="AM68" s="131"/>
      <c r="AN68" s="131"/>
      <c r="AO68" s="13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row>
    <row r="69" spans="1:236" s="17" customFormat="1" ht="12.95" customHeight="1" x14ac:dyDescent="0.2">
      <c r="A69" s="220"/>
      <c r="B69" s="220"/>
      <c r="C69" s="220"/>
      <c r="D69" s="220"/>
      <c r="E69" s="220"/>
      <c r="F69" s="220"/>
      <c r="G69" s="220"/>
      <c r="H69" s="220"/>
      <c r="I69" s="220"/>
      <c r="J69" s="59"/>
      <c r="M69" s="39"/>
      <c r="N69" s="39"/>
      <c r="O69" s="57"/>
      <c r="P69" s="39"/>
      <c r="Q69" s="39"/>
      <c r="R69" s="39"/>
      <c r="S69" s="39"/>
      <c r="U69" s="81"/>
      <c r="V69" s="81"/>
      <c r="W69" s="35"/>
      <c r="X69" s="35"/>
      <c r="Y69" s="35"/>
      <c r="Z69" s="35"/>
      <c r="AA69" s="35"/>
      <c r="AB69" s="35"/>
      <c r="AC69" s="35"/>
      <c r="AD69" s="35"/>
      <c r="AE69" s="1"/>
      <c r="AF69" s="1"/>
      <c r="AG69" s="1"/>
      <c r="AH69" s="131"/>
      <c r="AI69" s="131"/>
      <c r="AJ69" s="131"/>
      <c r="AK69" s="131"/>
      <c r="AL69" s="131"/>
      <c r="AM69" s="131"/>
      <c r="AN69" s="131"/>
      <c r="AO69" s="13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62"/>
      <c r="HC69" s="62"/>
      <c r="HD69" s="62"/>
      <c r="HE69" s="62"/>
      <c r="HF69" s="62"/>
      <c r="HG69" s="62"/>
      <c r="HH69" s="62"/>
      <c r="HI69" s="62"/>
      <c r="HJ69" s="62"/>
      <c r="HK69" s="62"/>
      <c r="HL69" s="62"/>
      <c r="HM69" s="62"/>
      <c r="HN69" s="62"/>
      <c r="HO69" s="62"/>
      <c r="HP69" s="62"/>
      <c r="HQ69" s="62"/>
      <c r="HR69" s="62"/>
      <c r="HS69" s="62"/>
      <c r="HT69" s="62"/>
      <c r="HU69" s="62"/>
      <c r="HV69" s="62"/>
      <c r="HW69" s="62"/>
      <c r="HX69" s="62"/>
      <c r="HY69" s="62"/>
      <c r="HZ69" s="62"/>
      <c r="IA69" s="62"/>
      <c r="IB69" s="62"/>
    </row>
    <row r="70" spans="1:236" s="17" customFormat="1" ht="12.95" customHeight="1" x14ac:dyDescent="0.2">
      <c r="A70" s="35"/>
      <c r="B70" s="147"/>
      <c r="C70" s="147"/>
      <c r="D70" s="147"/>
      <c r="E70" s="147"/>
      <c r="F70" s="147"/>
      <c r="G70" s="147"/>
      <c r="H70" s="147"/>
      <c r="I70" s="147"/>
      <c r="J70" s="59"/>
      <c r="M70" s="39"/>
      <c r="N70" s="39"/>
      <c r="O70" s="39"/>
      <c r="P70" s="39"/>
      <c r="Q70" s="39"/>
      <c r="R70" s="39"/>
      <c r="S70" s="39"/>
      <c r="U70" s="81"/>
      <c r="V70" s="81"/>
      <c r="W70" s="35"/>
      <c r="X70" s="35"/>
      <c r="Y70" s="35"/>
      <c r="Z70" s="35"/>
      <c r="AA70" s="35"/>
      <c r="AB70" s="35"/>
      <c r="AC70" s="35"/>
      <c r="AD70" s="35"/>
      <c r="AE70" s="1"/>
      <c r="AF70" s="1"/>
      <c r="AG70" s="1"/>
      <c r="AH70" s="131"/>
      <c r="AI70" s="131"/>
      <c r="AJ70" s="131"/>
      <c r="AK70" s="131"/>
      <c r="AL70" s="131"/>
      <c r="AM70" s="131"/>
      <c r="AN70" s="131"/>
      <c r="AO70" s="13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row>
    <row r="71" spans="1:236" s="17" customFormat="1" ht="12.95" customHeight="1" x14ac:dyDescent="0.2">
      <c r="A71" s="222" t="s">
        <v>63</v>
      </c>
      <c r="B71" s="223"/>
      <c r="C71" s="223"/>
      <c r="D71" s="223"/>
      <c r="E71" s="223"/>
      <c r="F71" s="223"/>
      <c r="G71" s="223"/>
      <c r="H71" s="223"/>
      <c r="I71" s="223"/>
      <c r="J71" s="59"/>
      <c r="M71" s="39"/>
      <c r="N71" s="39"/>
      <c r="O71" s="39"/>
      <c r="P71" s="39"/>
      <c r="Q71" s="39"/>
      <c r="R71" s="39"/>
      <c r="S71" s="39"/>
      <c r="U71" s="81"/>
      <c r="V71" s="81"/>
      <c r="W71" s="35"/>
      <c r="X71" s="35"/>
      <c r="Y71" s="35"/>
      <c r="Z71" s="35"/>
      <c r="AA71" s="35"/>
      <c r="AB71" s="35"/>
      <c r="AC71" s="35"/>
      <c r="AD71" s="35"/>
      <c r="AE71" s="1"/>
      <c r="AF71" s="1"/>
      <c r="AG71" s="1"/>
      <c r="AH71" s="131"/>
      <c r="AI71" s="131"/>
      <c r="AJ71" s="131"/>
      <c r="AK71" s="131"/>
      <c r="AL71" s="131"/>
      <c r="AM71" s="131"/>
      <c r="AN71" s="131"/>
      <c r="AO71" s="13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62"/>
      <c r="IA71" s="62"/>
      <c r="IB71" s="62"/>
    </row>
    <row r="72" spans="1:236" s="17" customFormat="1" ht="12.95" customHeight="1" x14ac:dyDescent="0.2">
      <c r="A72" s="74"/>
      <c r="B72" s="75"/>
      <c r="C72" s="75"/>
      <c r="D72" s="75"/>
      <c r="E72" s="75"/>
      <c r="F72" s="75"/>
      <c r="G72" s="75"/>
      <c r="H72" s="75"/>
      <c r="I72" s="75"/>
      <c r="J72" s="59"/>
      <c r="M72" s="39"/>
      <c r="N72" s="39"/>
      <c r="O72" s="39"/>
      <c r="P72" s="39"/>
      <c r="Q72" s="39"/>
      <c r="R72" s="39"/>
      <c r="S72" s="39"/>
      <c r="U72" s="81"/>
      <c r="V72" s="81"/>
      <c r="W72" s="35"/>
      <c r="X72" s="35"/>
      <c r="Y72" s="35"/>
      <c r="Z72" s="35"/>
      <c r="AA72" s="35"/>
      <c r="AB72" s="35"/>
      <c r="AC72" s="35"/>
      <c r="AD72" s="35"/>
      <c r="AE72" s="1"/>
      <c r="AF72" s="1"/>
      <c r="AG72" s="1"/>
      <c r="AH72" s="131"/>
      <c r="AI72" s="131"/>
      <c r="AJ72" s="131"/>
      <c r="AK72" s="131"/>
      <c r="AL72" s="131"/>
      <c r="AM72" s="131"/>
      <c r="AN72" s="131"/>
      <c r="AO72" s="13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row>
    <row r="73" spans="1:236" s="17" customFormat="1" ht="12.95" customHeight="1" x14ac:dyDescent="0.2">
      <c r="A73" s="63" t="s">
        <v>64</v>
      </c>
      <c r="B73" s="54" t="s">
        <v>65</v>
      </c>
      <c r="C73" s="36"/>
      <c r="D73" s="58"/>
      <c r="E73" s="58"/>
      <c r="F73" s="58"/>
      <c r="G73" s="58"/>
      <c r="H73" s="58"/>
      <c r="I73" s="68" t="str">
        <f>IF(Schussanzahl=0,"k.E.!",IF(Schussanzahl&lt;12,"NEIN!","OK!"))</f>
        <v>k.E.!</v>
      </c>
      <c r="J73" s="59"/>
      <c r="M73" s="39"/>
      <c r="N73" s="39"/>
      <c r="O73" s="39"/>
      <c r="P73" s="39"/>
      <c r="Q73" s="39"/>
      <c r="R73" s="39"/>
      <c r="S73" s="39"/>
      <c r="U73" s="81"/>
      <c r="V73" s="81"/>
      <c r="W73" s="35"/>
      <c r="X73" s="35"/>
      <c r="Y73" s="35"/>
      <c r="Z73" s="35"/>
      <c r="AA73" s="35"/>
      <c r="AB73" s="35"/>
      <c r="AC73" s="35"/>
      <c r="AD73" s="35"/>
      <c r="AE73" s="1"/>
      <c r="AF73" s="1"/>
      <c r="AG73" s="1"/>
      <c r="AH73" s="131"/>
      <c r="AI73" s="131"/>
      <c r="AJ73" s="131"/>
      <c r="AK73" s="131"/>
      <c r="AL73" s="131"/>
      <c r="AM73" s="131"/>
      <c r="AN73" s="131"/>
      <c r="AO73" s="13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row>
    <row r="74" spans="1:236" s="17" customFormat="1" ht="12.95" customHeight="1" x14ac:dyDescent="0.2">
      <c r="A74" s="63" t="s">
        <v>71</v>
      </c>
      <c r="B74" s="54" t="s">
        <v>101</v>
      </c>
      <c r="D74" s="58"/>
      <c r="E74" s="58"/>
      <c r="F74" s="58"/>
      <c r="G74" s="58"/>
      <c r="H74" s="58"/>
      <c r="I74" s="68" t="str">
        <f>IF(Schussanzahl=0,"k.E.!",IF(Schussanzahl&lt;20,"NEIN!","OK!"))</f>
        <v>k.E.!</v>
      </c>
      <c r="J74" s="59"/>
      <c r="M74" s="39"/>
      <c r="N74" s="39"/>
      <c r="O74" s="39"/>
      <c r="P74" s="39"/>
      <c r="Q74" s="39"/>
      <c r="R74" s="39"/>
      <c r="S74" s="39"/>
      <c r="U74" s="81"/>
      <c r="V74" s="81"/>
      <c r="W74" s="35"/>
      <c r="X74" s="35"/>
      <c r="Y74" s="35"/>
      <c r="Z74" s="35"/>
      <c r="AA74" s="35"/>
      <c r="AB74" s="35"/>
      <c r="AC74" s="35"/>
      <c r="AD74" s="35"/>
      <c r="AE74" s="1"/>
      <c r="AF74" s="1"/>
      <c r="AG74" s="1"/>
      <c r="AH74" s="131"/>
      <c r="AI74" s="131"/>
      <c r="AJ74" s="131"/>
      <c r="AK74" s="131"/>
      <c r="AL74" s="131"/>
      <c r="AM74" s="131"/>
      <c r="AN74" s="131"/>
      <c r="AO74" s="13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row>
    <row r="75" spans="1:236" s="17" customFormat="1" ht="12.95" customHeight="1" x14ac:dyDescent="0.2">
      <c r="A75" s="63" t="s">
        <v>64</v>
      </c>
      <c r="B75" s="54" t="s">
        <v>66</v>
      </c>
      <c r="C75" s="36"/>
      <c r="D75" s="58"/>
      <c r="E75" s="58"/>
      <c r="F75" s="58"/>
      <c r="G75" s="58"/>
      <c r="H75" s="58"/>
      <c r="I75" s="68" t="str">
        <f>IF(Schussanzahl=0,"k.E.!",IF(COUNTIF(Teilbereiche,1),"OK!","NEIN!"))</f>
        <v>k.E.!</v>
      </c>
      <c r="J75" s="59"/>
      <c r="K75" s="36"/>
      <c r="L75" s="36"/>
      <c r="M75" s="39"/>
      <c r="N75" s="39"/>
      <c r="O75" s="39"/>
      <c r="P75" s="39"/>
      <c r="Q75" s="39"/>
      <c r="R75" s="39"/>
      <c r="S75" s="39"/>
      <c r="U75" s="81"/>
      <c r="V75" s="81"/>
      <c r="W75" s="35"/>
      <c r="X75" s="35"/>
      <c r="Y75" s="35"/>
      <c r="Z75" s="35"/>
      <c r="AA75" s="35"/>
      <c r="AB75" s="35"/>
      <c r="AC75" s="35"/>
      <c r="AD75" s="35"/>
      <c r="AE75" s="1"/>
      <c r="AF75" s="1"/>
      <c r="AG75" s="1"/>
      <c r="AH75" s="131"/>
      <c r="AI75" s="131"/>
      <c r="AJ75" s="131"/>
      <c r="AK75" s="131"/>
      <c r="AL75" s="131"/>
      <c r="AM75" s="131"/>
      <c r="AN75" s="131"/>
      <c r="AO75" s="13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row>
    <row r="76" spans="1:236" s="17" customFormat="1" ht="12.95" customHeight="1" x14ac:dyDescent="0.2">
      <c r="A76" s="63" t="s">
        <v>71</v>
      </c>
      <c r="B76" s="54" t="s">
        <v>72</v>
      </c>
      <c r="D76" s="58"/>
      <c r="E76" s="58"/>
      <c r="F76" s="58"/>
      <c r="G76" s="58"/>
      <c r="H76" s="58"/>
      <c r="I76" s="68" t="str">
        <f>IF(Schussanzahl=0,"k.E.!",IF(TrefferIn1&gt;1,"OK!","NEIN!"))</f>
        <v>k.E.!</v>
      </c>
      <c r="J76" s="59"/>
      <c r="K76" s="148"/>
      <c r="L76" s="36"/>
      <c r="M76" s="39"/>
      <c r="N76" s="39"/>
      <c r="O76" s="39"/>
      <c r="P76" s="39"/>
      <c r="Q76" s="39"/>
      <c r="R76" s="39"/>
      <c r="S76" s="39"/>
      <c r="U76" s="81"/>
      <c r="V76" s="81"/>
      <c r="W76" s="35"/>
      <c r="X76" s="35"/>
      <c r="Y76" s="35"/>
      <c r="Z76" s="35"/>
      <c r="AA76" s="35"/>
      <c r="AB76" s="35"/>
      <c r="AC76" s="35"/>
      <c r="AD76" s="35"/>
      <c r="AE76" s="1"/>
      <c r="AF76" s="1"/>
      <c r="AG76" s="1"/>
      <c r="AH76" s="131"/>
      <c r="AI76" s="131"/>
      <c r="AJ76" s="131"/>
      <c r="AK76" s="131"/>
      <c r="AL76" s="131"/>
      <c r="AM76" s="131"/>
      <c r="AN76" s="131"/>
      <c r="AO76" s="13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row>
    <row r="77" spans="1:236" s="17" customFormat="1" ht="12.95" customHeight="1" x14ac:dyDescent="0.2">
      <c r="A77" s="63" t="s">
        <v>64</v>
      </c>
      <c r="B77" s="54" t="s">
        <v>67</v>
      </c>
      <c r="C77" s="36"/>
      <c r="D77" s="58"/>
      <c r="E77" s="58"/>
      <c r="F77" s="58"/>
      <c r="G77" s="58"/>
      <c r="H77" s="58"/>
      <c r="I77" s="68" t="str">
        <f>IF(Schussanzahl=0,"k.E.!",IF(COUNTIF(Teilbereiche,2),"OK!","NEIN!"))</f>
        <v>k.E.!</v>
      </c>
      <c r="J77" s="59"/>
      <c r="K77" s="148"/>
      <c r="L77" s="36"/>
      <c r="M77" s="39"/>
      <c r="N77" s="39"/>
      <c r="O77" s="39"/>
      <c r="P77" s="39"/>
      <c r="Q77" s="39"/>
      <c r="R77" s="39"/>
      <c r="S77" s="39"/>
      <c r="U77" s="81"/>
      <c r="V77" s="81"/>
      <c r="W77" s="35"/>
      <c r="X77" s="35"/>
      <c r="Y77" s="35"/>
      <c r="Z77" s="35"/>
      <c r="AA77" s="35"/>
      <c r="AB77" s="35"/>
      <c r="AC77" s="35"/>
      <c r="AD77" s="35"/>
      <c r="AE77" s="1"/>
      <c r="AF77" s="1"/>
      <c r="AG77" s="1"/>
      <c r="AH77" s="131"/>
      <c r="AI77" s="131"/>
      <c r="AJ77" s="131"/>
      <c r="AK77" s="131"/>
      <c r="AL77" s="131"/>
      <c r="AM77" s="131"/>
      <c r="AN77" s="131"/>
      <c r="AO77" s="13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row>
    <row r="78" spans="1:236" s="17" customFormat="1" ht="12.95" customHeight="1" x14ac:dyDescent="0.2">
      <c r="A78" s="63" t="s">
        <v>71</v>
      </c>
      <c r="B78" s="54" t="s">
        <v>73</v>
      </c>
      <c r="D78" s="58"/>
      <c r="E78" s="58"/>
      <c r="F78" s="58"/>
      <c r="G78" s="58"/>
      <c r="H78" s="58"/>
      <c r="I78" s="68" t="str">
        <f>IF(Schussanzahl=0,"k.E.!",IF(TrefferIn2&gt;1,"OK!","NEIN!"))</f>
        <v>k.E.!</v>
      </c>
      <c r="J78" s="59"/>
      <c r="K78" s="148"/>
      <c r="L78" s="36"/>
      <c r="M78" s="39"/>
      <c r="N78" s="39"/>
      <c r="O78" s="39"/>
      <c r="P78" s="39"/>
      <c r="Q78" s="39"/>
      <c r="R78" s="39"/>
      <c r="S78" s="39"/>
      <c r="U78" s="81"/>
      <c r="V78" s="81"/>
      <c r="W78" s="35"/>
      <c r="X78" s="35"/>
      <c r="Y78" s="35"/>
      <c r="Z78" s="35"/>
      <c r="AA78" s="35"/>
      <c r="AB78" s="35"/>
      <c r="AC78" s="35"/>
      <c r="AD78" s="35"/>
      <c r="AE78" s="1"/>
      <c r="AF78" s="1"/>
      <c r="AG78" s="1"/>
      <c r="AH78" s="131"/>
      <c r="AI78" s="131"/>
      <c r="AJ78" s="131"/>
      <c r="AK78" s="131"/>
      <c r="AL78" s="131"/>
      <c r="AM78" s="131"/>
      <c r="AN78" s="131"/>
      <c r="AO78" s="13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c r="ES78" s="62"/>
      <c r="ET78" s="62"/>
      <c r="EU78" s="62"/>
      <c r="EV78" s="62"/>
      <c r="EW78" s="62"/>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62"/>
      <c r="HC78" s="62"/>
      <c r="HD78" s="62"/>
      <c r="HE78" s="62"/>
      <c r="HF78" s="62"/>
      <c r="HG78" s="62"/>
      <c r="HH78" s="62"/>
      <c r="HI78" s="62"/>
      <c r="HJ78" s="62"/>
      <c r="HK78" s="62"/>
      <c r="HL78" s="62"/>
      <c r="HM78" s="62"/>
      <c r="HN78" s="62"/>
      <c r="HO78" s="62"/>
      <c r="HP78" s="62"/>
      <c r="HQ78" s="62"/>
      <c r="HR78" s="62"/>
      <c r="HS78" s="62"/>
      <c r="HT78" s="62"/>
      <c r="HU78" s="62"/>
      <c r="HV78" s="62"/>
      <c r="HW78" s="62"/>
      <c r="HX78" s="62"/>
      <c r="HY78" s="62"/>
      <c r="HZ78" s="62"/>
      <c r="IA78" s="62"/>
      <c r="IB78" s="62"/>
    </row>
    <row r="79" spans="1:236" s="17" customFormat="1" ht="12.95" customHeight="1" x14ac:dyDescent="0.2">
      <c r="A79" s="63" t="s">
        <v>64</v>
      </c>
      <c r="B79" s="54" t="s">
        <v>68</v>
      </c>
      <c r="C79" s="36"/>
      <c r="D79" s="58"/>
      <c r="E79" s="58"/>
      <c r="F79" s="58"/>
      <c r="G79" s="58"/>
      <c r="H79" s="58"/>
      <c r="I79" s="68" t="str">
        <f>IF(Schussanzahl=0,"k.E.!",IF(COUNTIF(Teilbereiche,3),"OK!","NEIN!"))</f>
        <v>k.E.!</v>
      </c>
      <c r="J79" s="59"/>
      <c r="K79" s="36"/>
      <c r="L79" s="36"/>
      <c r="M79" s="39"/>
      <c r="N79" s="39"/>
      <c r="O79" s="39"/>
      <c r="P79" s="39"/>
      <c r="Q79" s="39"/>
      <c r="R79" s="39"/>
      <c r="S79" s="39"/>
      <c r="U79" s="81"/>
      <c r="V79" s="81"/>
      <c r="W79" s="35"/>
      <c r="X79" s="35"/>
      <c r="Y79" s="35"/>
      <c r="Z79" s="35"/>
      <c r="AA79" s="35"/>
      <c r="AB79" s="35"/>
      <c r="AC79" s="35"/>
      <c r="AD79" s="35"/>
      <c r="AE79" s="1"/>
      <c r="AF79" s="1"/>
      <c r="AG79" s="1"/>
      <c r="AH79" s="131"/>
      <c r="AI79" s="131"/>
      <c r="AJ79" s="131"/>
      <c r="AK79" s="131"/>
      <c r="AL79" s="131"/>
      <c r="AM79" s="131"/>
      <c r="AN79" s="131"/>
      <c r="AO79" s="13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row>
    <row r="80" spans="1:236" s="17" customFormat="1" ht="12.95" customHeight="1" x14ac:dyDescent="0.2">
      <c r="A80" s="63" t="s">
        <v>71</v>
      </c>
      <c r="B80" s="54" t="s">
        <v>74</v>
      </c>
      <c r="D80" s="58"/>
      <c r="E80" s="58"/>
      <c r="F80" s="58"/>
      <c r="G80" s="58"/>
      <c r="H80" s="58"/>
      <c r="I80" s="68" t="str">
        <f>IF(Schussanzahl=0,"k.E.!",IF(TrefferIn3&gt;1,"OK!","NEIN!"))</f>
        <v>k.E.!</v>
      </c>
      <c r="J80" s="59"/>
      <c r="K80" s="36"/>
      <c r="L80" s="36"/>
      <c r="M80" s="39"/>
      <c r="N80" s="39"/>
      <c r="O80" s="39"/>
      <c r="P80" s="39"/>
      <c r="Q80" s="39"/>
      <c r="R80" s="39"/>
      <c r="S80" s="39"/>
      <c r="U80" s="81"/>
      <c r="V80" s="81"/>
      <c r="W80" s="35"/>
      <c r="X80" s="35"/>
      <c r="Y80" s="35"/>
      <c r="Z80" s="35"/>
      <c r="AA80" s="35"/>
      <c r="AB80" s="35"/>
      <c r="AC80" s="35"/>
      <c r="AD80" s="35"/>
      <c r="AE80" s="1"/>
      <c r="AF80" s="1"/>
      <c r="AG80" s="1"/>
      <c r="AH80" s="131"/>
      <c r="AI80" s="131"/>
      <c r="AJ80" s="131"/>
      <c r="AK80" s="131"/>
      <c r="AL80" s="131"/>
      <c r="AM80" s="131"/>
      <c r="AN80" s="131"/>
      <c r="AO80" s="13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row>
    <row r="81" spans="1:236" s="17" customFormat="1" ht="12.95" customHeight="1" x14ac:dyDescent="0.2">
      <c r="A81" s="63" t="s">
        <v>64</v>
      </c>
      <c r="B81" s="54" t="s">
        <v>76</v>
      </c>
      <c r="C81" s="36"/>
      <c r="D81" s="65"/>
      <c r="E81" s="65"/>
      <c r="F81" s="65"/>
      <c r="G81" s="65"/>
      <c r="H81" s="65"/>
      <c r="I81" s="68" t="str">
        <f>IF(Schussanzahl=0,"k.E.!",IF(AND(AR54&lt;2,AS54&lt;2),"OK!","NEIN!"))</f>
        <v>k.E.!</v>
      </c>
      <c r="J81" s="59"/>
      <c r="K81" s="36"/>
      <c r="L81" s="36"/>
      <c r="M81" s="39"/>
      <c r="N81" s="39"/>
      <c r="O81" s="39"/>
      <c r="P81" s="39"/>
      <c r="Q81" s="39"/>
      <c r="R81" s="39"/>
      <c r="S81" s="39"/>
      <c r="U81" s="81"/>
      <c r="V81" s="81"/>
      <c r="W81" s="35"/>
      <c r="X81" s="35"/>
      <c r="Y81" s="35"/>
      <c r="Z81" s="35"/>
      <c r="AA81" s="35"/>
      <c r="AB81" s="35"/>
      <c r="AC81" s="35"/>
      <c r="AD81" s="35"/>
      <c r="AE81" s="1"/>
      <c r="AF81" s="1"/>
      <c r="AG81" s="1"/>
      <c r="AH81" s="131"/>
      <c r="AI81" s="131"/>
      <c r="AJ81" s="131"/>
      <c r="AK81" s="131"/>
      <c r="AL81" s="131"/>
      <c r="AM81" s="131"/>
      <c r="AN81" s="131"/>
      <c r="AO81" s="13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row>
    <row r="82" spans="1:236" s="17" customFormat="1" ht="12.95" customHeight="1" x14ac:dyDescent="0.2">
      <c r="A82" s="63" t="s">
        <v>64</v>
      </c>
      <c r="B82" s="54" t="s">
        <v>75</v>
      </c>
      <c r="C82" s="36"/>
      <c r="D82" s="65"/>
      <c r="E82" s="65"/>
      <c r="F82" s="65"/>
      <c r="G82" s="65"/>
      <c r="H82" s="65"/>
      <c r="I82" s="68" t="str">
        <f>IF(Schussanzahl=0,"k.E.!",IF(AND(AT54&lt;2,AU54&lt;2),"OK!","NEIN!"))</f>
        <v>k.E.!</v>
      </c>
      <c r="J82" s="59"/>
      <c r="K82" s="148"/>
      <c r="L82" s="36"/>
      <c r="M82" s="39"/>
      <c r="N82" s="39"/>
      <c r="O82" s="39"/>
      <c r="P82" s="39"/>
      <c r="Q82" s="39"/>
      <c r="R82" s="39"/>
      <c r="S82" s="39"/>
      <c r="U82" s="81"/>
      <c r="V82" s="81"/>
      <c r="W82" s="35"/>
      <c r="X82" s="35"/>
      <c r="Y82" s="35"/>
      <c r="Z82" s="35"/>
      <c r="AA82" s="35"/>
      <c r="AB82" s="35"/>
      <c r="AC82" s="35"/>
      <c r="AD82" s="35"/>
      <c r="AE82" s="1"/>
      <c r="AF82" s="1"/>
      <c r="AG82" s="1"/>
      <c r="AH82" s="131"/>
      <c r="AI82" s="131"/>
      <c r="AJ82" s="131"/>
      <c r="AK82" s="131"/>
      <c r="AL82" s="131"/>
      <c r="AM82" s="131"/>
      <c r="AN82" s="131"/>
      <c r="AO82" s="13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row>
    <row r="83" spans="1:236" s="17" customFormat="1" ht="12.95" customHeight="1" x14ac:dyDescent="0.2">
      <c r="A83" s="63" t="s">
        <v>64</v>
      </c>
      <c r="B83" s="54" t="s">
        <v>69</v>
      </c>
      <c r="C83" s="65"/>
      <c r="D83" s="65"/>
      <c r="E83" s="65"/>
      <c r="F83" s="65"/>
      <c r="G83" s="65"/>
      <c r="H83" s="65"/>
      <c r="I83" s="68" t="str">
        <f>IF(O24&gt;0,"NEIN!",IF(Schussanzahl=0,"k.E.!","OK!"))</f>
        <v>k.E.!</v>
      </c>
      <c r="J83" s="59"/>
      <c r="K83" s="148"/>
      <c r="L83" s="36"/>
      <c r="M83" s="39"/>
      <c r="N83" s="39"/>
      <c r="O83" s="39"/>
      <c r="P83" s="39"/>
      <c r="Q83" s="39"/>
      <c r="R83" s="39"/>
      <c r="S83" s="39"/>
      <c r="U83" s="81"/>
      <c r="V83" s="81"/>
      <c r="W83" s="35"/>
      <c r="X83" s="35"/>
      <c r="Y83" s="35"/>
      <c r="Z83" s="35"/>
      <c r="AA83" s="35"/>
      <c r="AB83" s="35"/>
      <c r="AC83" s="35"/>
      <c r="AD83" s="35"/>
      <c r="AE83" s="1"/>
      <c r="AF83" s="1"/>
      <c r="AG83" s="1"/>
      <c r="AH83" s="131"/>
      <c r="AI83" s="131"/>
      <c r="AJ83" s="131"/>
      <c r="AK83" s="131"/>
      <c r="AL83" s="131"/>
      <c r="AM83" s="131"/>
      <c r="AN83" s="131"/>
      <c r="AO83" s="13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row>
    <row r="84" spans="1:236" s="17" customFormat="1" ht="12.95" customHeight="1" x14ac:dyDescent="0.2">
      <c r="A84" s="63" t="s">
        <v>64</v>
      </c>
      <c r="B84" s="54" t="s">
        <v>70</v>
      </c>
      <c r="C84" s="65"/>
      <c r="D84" s="65"/>
      <c r="E84" s="65"/>
      <c r="F84" s="65"/>
      <c r="G84" s="65"/>
      <c r="H84" s="65"/>
      <c r="I84" s="68" t="str">
        <f>IF(MaxV_DS&lt;MaxV_KD,"NEIN!",IF(MaxV_DS=0,"k.E.!","OK!"))</f>
        <v>k.E.!</v>
      </c>
      <c r="J84" s="59"/>
      <c r="K84" s="148"/>
      <c r="L84" s="36"/>
      <c r="M84" s="39"/>
      <c r="N84" s="39"/>
      <c r="O84" s="39"/>
      <c r="P84" s="39"/>
      <c r="Q84" s="39"/>
      <c r="R84" s="39"/>
      <c r="S84" s="39"/>
      <c r="U84" s="81"/>
      <c r="V84" s="81"/>
      <c r="W84" s="35"/>
      <c r="X84" s="35"/>
      <c r="Y84" s="35"/>
      <c r="Z84" s="35"/>
      <c r="AA84" s="35"/>
      <c r="AB84" s="35"/>
      <c r="AC84" s="35"/>
      <c r="AD84" s="35"/>
      <c r="AE84" s="1"/>
      <c r="AF84" s="1"/>
      <c r="AG84" s="1"/>
      <c r="AH84" s="131"/>
      <c r="AI84" s="131"/>
      <c r="AJ84" s="131"/>
      <c r="AK84" s="131"/>
      <c r="AL84" s="131"/>
      <c r="AM84" s="131"/>
      <c r="AN84" s="131"/>
      <c r="AO84" s="13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row>
    <row r="85" spans="1:236" s="17" customFormat="1" ht="12.95" customHeight="1" x14ac:dyDescent="0.2">
      <c r="A85" s="63" t="s">
        <v>64</v>
      </c>
      <c r="B85" s="54" t="s">
        <v>81</v>
      </c>
      <c r="C85" s="65"/>
      <c r="D85" s="65"/>
      <c r="E85" s="65"/>
      <c r="F85" s="65"/>
      <c r="G85" s="65"/>
      <c r="H85" s="65"/>
      <c r="I85" s="68" t="str">
        <f>IF(Schussanzahl=0,"k.E.!",IF(ABS(KD-DS)&lt;3,"OK!",IF(ABS(KD-DS)&lt;5,"fast!","NEIN!")))</f>
        <v>k.E.!</v>
      </c>
      <c r="J85" s="59"/>
      <c r="L85" s="36"/>
      <c r="M85" s="39"/>
      <c r="N85" s="39"/>
      <c r="O85" s="39"/>
      <c r="P85" s="39"/>
      <c r="Q85" s="39"/>
      <c r="R85" s="39"/>
      <c r="S85" s="39"/>
      <c r="U85" s="81"/>
      <c r="V85" s="81"/>
      <c r="W85" s="35"/>
      <c r="X85" s="35"/>
      <c r="Y85" s="35"/>
      <c r="Z85" s="35"/>
      <c r="AA85" s="35"/>
      <c r="AB85" s="35"/>
      <c r="AC85" s="35"/>
      <c r="AD85" s="35"/>
      <c r="AE85" s="1"/>
      <c r="AF85" s="1"/>
      <c r="AG85" s="1"/>
      <c r="AH85" s="131"/>
      <c r="AI85" s="131"/>
      <c r="AJ85" s="131"/>
      <c r="AK85" s="131"/>
      <c r="AL85" s="131"/>
      <c r="AM85" s="131"/>
      <c r="AN85" s="131"/>
      <c r="AO85" s="13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row>
    <row r="86" spans="1:236" s="17" customFormat="1" ht="12.95" customHeight="1" x14ac:dyDescent="0.2">
      <c r="A86" s="64"/>
      <c r="B86" s="54"/>
      <c r="C86" s="65"/>
      <c r="D86" s="65"/>
      <c r="E86" s="65"/>
      <c r="F86" s="65"/>
      <c r="G86" s="65"/>
      <c r="H86" s="65"/>
      <c r="I86" s="68"/>
      <c r="J86" s="59"/>
      <c r="L86" s="36"/>
      <c r="M86" s="39"/>
      <c r="N86" s="39"/>
      <c r="O86" s="39"/>
      <c r="P86" s="39"/>
      <c r="Q86" s="39"/>
      <c r="R86" s="39"/>
      <c r="S86" s="39"/>
      <c r="U86" s="81"/>
      <c r="V86" s="81"/>
      <c r="W86" s="35"/>
      <c r="X86" s="35"/>
      <c r="Y86" s="35"/>
      <c r="Z86" s="35"/>
      <c r="AA86" s="35"/>
      <c r="AB86" s="35"/>
      <c r="AC86" s="35"/>
      <c r="AD86" s="35"/>
      <c r="AE86" s="1"/>
      <c r="AF86" s="1"/>
      <c r="AG86" s="1"/>
      <c r="AH86" s="131"/>
      <c r="AI86" s="131"/>
      <c r="AJ86" s="131"/>
      <c r="AK86" s="131"/>
      <c r="AL86" s="131"/>
      <c r="AM86" s="131"/>
      <c r="AN86" s="131"/>
      <c r="AO86" s="13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row>
    <row r="87" spans="1:236" s="17" customFormat="1" ht="12.95" customHeight="1" x14ac:dyDescent="0.2">
      <c r="A87" s="64"/>
      <c r="B87" s="64"/>
      <c r="C87" s="65"/>
      <c r="D87" s="65"/>
      <c r="E87" s="65"/>
      <c r="F87" s="65"/>
      <c r="G87" s="65"/>
      <c r="H87" s="65"/>
      <c r="I87" s="68"/>
      <c r="J87" s="59"/>
      <c r="L87" s="36"/>
      <c r="M87" s="39"/>
      <c r="N87" s="39"/>
      <c r="O87" s="39"/>
      <c r="P87" s="39"/>
      <c r="Q87" s="39"/>
      <c r="R87" s="39"/>
      <c r="S87" s="39"/>
      <c r="U87" s="81"/>
      <c r="V87" s="81"/>
      <c r="W87" s="35"/>
      <c r="X87" s="35"/>
      <c r="Y87" s="35"/>
      <c r="Z87" s="35"/>
      <c r="AA87" s="35"/>
      <c r="AB87" s="35"/>
      <c r="AC87" s="35"/>
      <c r="AD87" s="35"/>
      <c r="AE87" s="1"/>
      <c r="AF87" s="1"/>
      <c r="AG87" s="1"/>
      <c r="AH87" s="131"/>
      <c r="AI87" s="131"/>
      <c r="AJ87" s="131"/>
      <c r="AK87" s="131"/>
      <c r="AL87" s="131"/>
      <c r="AM87" s="131"/>
      <c r="AN87" s="131"/>
      <c r="AO87" s="13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62"/>
      <c r="HC87" s="62"/>
      <c r="HD87" s="62"/>
      <c r="HE87" s="62"/>
      <c r="HF87" s="62"/>
      <c r="HG87" s="62"/>
      <c r="HH87" s="62"/>
      <c r="HI87" s="62"/>
      <c r="HJ87" s="62"/>
      <c r="HK87" s="62"/>
      <c r="HL87" s="62"/>
      <c r="HM87" s="62"/>
      <c r="HN87" s="62"/>
      <c r="HO87" s="62"/>
      <c r="HP87" s="62"/>
      <c r="HQ87" s="62"/>
      <c r="HR87" s="62"/>
      <c r="HS87" s="62"/>
      <c r="HT87" s="62"/>
      <c r="HU87" s="62"/>
      <c r="HV87" s="62"/>
      <c r="HW87" s="62"/>
      <c r="HX87" s="62"/>
      <c r="HY87" s="62"/>
      <c r="HZ87" s="62"/>
      <c r="IA87" s="62"/>
      <c r="IB87" s="62"/>
    </row>
    <row r="88" spans="1:236" s="1" customFormat="1" ht="12.95" customHeight="1" x14ac:dyDescent="0.2">
      <c r="A88" s="81"/>
      <c r="B88" s="81"/>
      <c r="C88" s="81"/>
      <c r="D88" s="35"/>
      <c r="E88" s="35"/>
      <c r="F88" s="35"/>
      <c r="G88" s="35"/>
      <c r="H88" s="35"/>
      <c r="I88" s="35"/>
      <c r="K88" s="81"/>
      <c r="L88" s="81"/>
      <c r="M88" s="35"/>
      <c r="N88" s="35"/>
      <c r="O88" s="35"/>
      <c r="P88" s="35"/>
      <c r="Q88" s="35"/>
      <c r="R88" s="35"/>
      <c r="S88" s="35"/>
      <c r="U88" s="81"/>
      <c r="V88" s="81"/>
      <c r="W88" s="35"/>
      <c r="X88" s="35"/>
      <c r="Y88" s="35"/>
      <c r="Z88" s="35"/>
      <c r="AA88" s="35"/>
      <c r="AB88" s="35"/>
      <c r="AC88" s="35"/>
      <c r="AD88" s="35"/>
      <c r="AH88" s="131"/>
      <c r="AI88" s="131"/>
      <c r="AJ88" s="131"/>
      <c r="AK88" s="131"/>
      <c r="AL88" s="131"/>
      <c r="AM88" s="131"/>
      <c r="AN88" s="131"/>
      <c r="AO88" s="131"/>
    </row>
    <row r="89" spans="1:236" s="1" customFormat="1" ht="12.95" customHeight="1" x14ac:dyDescent="0.2">
      <c r="A89" s="81"/>
      <c r="B89" s="81"/>
      <c r="C89" s="81"/>
      <c r="F89" s="149"/>
      <c r="G89" s="149"/>
      <c r="H89" s="149"/>
      <c r="I89" s="149"/>
      <c r="K89" s="81"/>
      <c r="L89" s="81"/>
      <c r="M89" s="35"/>
      <c r="N89" s="35"/>
      <c r="O89" s="35"/>
      <c r="P89" s="35"/>
      <c r="Q89" s="35"/>
      <c r="R89" s="35"/>
      <c r="S89" s="35"/>
      <c r="U89" s="81"/>
      <c r="V89" s="81"/>
      <c r="W89" s="35"/>
      <c r="X89" s="35"/>
      <c r="Y89" s="35"/>
      <c r="Z89" s="35"/>
      <c r="AA89" s="35"/>
      <c r="AB89" s="35"/>
      <c r="AC89" s="35"/>
      <c r="AD89" s="35"/>
      <c r="AH89" s="131"/>
      <c r="AI89" s="131"/>
      <c r="AJ89" s="131"/>
      <c r="AK89" s="131"/>
      <c r="AL89" s="131"/>
      <c r="AM89" s="131"/>
      <c r="AN89" s="131"/>
      <c r="AO89" s="131"/>
    </row>
    <row r="90" spans="1:236" s="1" customFormat="1" ht="12.95" customHeight="1" x14ac:dyDescent="0.2">
      <c r="A90" s="81"/>
      <c r="B90" s="81"/>
      <c r="C90" s="81"/>
      <c r="F90" s="149"/>
      <c r="G90" s="149"/>
      <c r="H90" s="149"/>
      <c r="I90" s="149"/>
      <c r="K90" s="81"/>
      <c r="L90" s="81"/>
      <c r="M90" s="35"/>
      <c r="N90" s="35"/>
      <c r="O90" s="35"/>
      <c r="P90" s="35"/>
      <c r="Q90" s="35"/>
      <c r="R90" s="35"/>
      <c r="S90" s="35"/>
      <c r="U90" s="81"/>
      <c r="V90" s="81"/>
      <c r="W90" s="35"/>
      <c r="X90" s="35"/>
      <c r="Y90" s="35"/>
      <c r="Z90" s="35"/>
      <c r="AA90" s="35"/>
      <c r="AB90" s="35"/>
      <c r="AC90" s="35"/>
      <c r="AD90" s="35"/>
      <c r="AH90" s="131"/>
      <c r="AI90" s="131"/>
      <c r="AJ90" s="131"/>
      <c r="AK90" s="131"/>
      <c r="AL90" s="131"/>
      <c r="AM90" s="131"/>
      <c r="AN90" s="131"/>
      <c r="AO90" s="131"/>
    </row>
    <row r="91" spans="1:236" s="1" customFormat="1" ht="12.95" customHeight="1" x14ac:dyDescent="0.2">
      <c r="A91" s="81"/>
      <c r="B91" s="81"/>
      <c r="C91" s="81"/>
      <c r="E91" s="35"/>
      <c r="F91" s="149"/>
      <c r="G91" s="149"/>
      <c r="H91" s="149"/>
      <c r="I91" s="149"/>
      <c r="K91" s="81"/>
      <c r="L91" s="81"/>
      <c r="M91" s="35"/>
      <c r="N91" s="35"/>
      <c r="O91" s="35"/>
      <c r="P91" s="35"/>
      <c r="Q91" s="35"/>
      <c r="R91" s="35"/>
      <c r="S91" s="35"/>
      <c r="U91" s="81"/>
      <c r="V91" s="81"/>
      <c r="W91" s="35"/>
      <c r="X91" s="35"/>
      <c r="Y91" s="35"/>
      <c r="Z91" s="35"/>
      <c r="AA91" s="35"/>
      <c r="AB91" s="35"/>
      <c r="AC91" s="35"/>
      <c r="AD91" s="35"/>
      <c r="AH91" s="131"/>
      <c r="AI91" s="131"/>
      <c r="AJ91" s="131"/>
      <c r="AK91" s="131"/>
      <c r="AL91" s="131"/>
      <c r="AM91" s="131"/>
      <c r="AN91" s="131"/>
      <c r="AO91" s="131"/>
    </row>
    <row r="92" spans="1:236" s="1" customFormat="1" ht="12.95" customHeight="1" x14ac:dyDescent="0.2">
      <c r="A92" s="81"/>
      <c r="B92" s="81"/>
      <c r="C92" s="81"/>
      <c r="E92" s="35"/>
      <c r="F92" s="35"/>
      <c r="G92" s="35"/>
      <c r="H92" s="35"/>
      <c r="I92" s="35"/>
      <c r="K92" s="81"/>
      <c r="L92" s="81"/>
      <c r="M92" s="35"/>
      <c r="N92" s="35"/>
      <c r="O92" s="35"/>
      <c r="P92" s="35"/>
      <c r="Q92" s="35"/>
      <c r="R92" s="35"/>
      <c r="S92" s="35"/>
      <c r="U92" s="81"/>
      <c r="V92" s="81"/>
      <c r="W92" s="35"/>
      <c r="X92" s="35"/>
      <c r="Y92" s="35"/>
      <c r="Z92" s="35"/>
      <c r="AA92" s="35"/>
      <c r="AB92" s="35"/>
      <c r="AC92" s="35"/>
      <c r="AD92" s="35"/>
      <c r="AH92" s="131"/>
      <c r="AI92" s="131"/>
      <c r="AJ92" s="131"/>
      <c r="AK92" s="131"/>
      <c r="AL92" s="131"/>
      <c r="AM92" s="131"/>
      <c r="AN92" s="131"/>
      <c r="AO92" s="131"/>
    </row>
    <row r="93" spans="1:236" s="1" customFormat="1" ht="12.95" customHeight="1" x14ac:dyDescent="0.2">
      <c r="A93" s="81"/>
      <c r="B93" s="81"/>
      <c r="C93" s="81"/>
      <c r="D93" s="81"/>
      <c r="E93" s="35"/>
      <c r="F93" s="35"/>
      <c r="G93" s="35"/>
      <c r="H93" s="35"/>
      <c r="I93" s="35"/>
      <c r="K93" s="81"/>
      <c r="L93" s="81"/>
      <c r="M93" s="35"/>
      <c r="N93" s="35"/>
      <c r="O93" s="35"/>
      <c r="P93" s="35"/>
      <c r="Q93" s="35"/>
      <c r="R93" s="35"/>
      <c r="S93" s="35"/>
      <c r="U93" s="81"/>
      <c r="V93" s="81"/>
      <c r="W93" s="35"/>
      <c r="X93" s="35"/>
      <c r="Y93" s="35"/>
      <c r="Z93" s="35"/>
      <c r="AA93" s="35"/>
      <c r="AB93" s="35"/>
      <c r="AC93" s="35"/>
      <c r="AD93" s="35"/>
      <c r="AH93" s="131"/>
      <c r="AI93" s="131"/>
      <c r="AJ93" s="131"/>
      <c r="AK93" s="131"/>
      <c r="AL93" s="131"/>
      <c r="AM93" s="131"/>
      <c r="AN93" s="131"/>
      <c r="AO93" s="131"/>
    </row>
    <row r="94" spans="1:236" s="1" customFormat="1" ht="12.95" customHeight="1" x14ac:dyDescent="0.2">
      <c r="A94" s="81"/>
      <c r="B94" s="81"/>
      <c r="C94" s="81"/>
      <c r="D94" s="81"/>
      <c r="E94" s="35"/>
      <c r="F94" s="35"/>
      <c r="G94" s="35"/>
      <c r="H94" s="35"/>
      <c r="I94" s="35"/>
      <c r="K94" s="81"/>
      <c r="L94" s="81"/>
      <c r="M94" s="35"/>
      <c r="N94" s="35"/>
      <c r="O94" s="35"/>
      <c r="P94" s="35"/>
      <c r="Q94" s="35"/>
      <c r="R94" s="35"/>
      <c r="S94" s="35"/>
      <c r="U94" s="81"/>
      <c r="V94" s="81"/>
      <c r="W94" s="35"/>
      <c r="X94" s="35"/>
      <c r="Y94" s="35"/>
      <c r="Z94" s="35"/>
      <c r="AA94" s="35"/>
      <c r="AB94" s="35"/>
      <c r="AC94" s="35"/>
      <c r="AD94" s="35"/>
      <c r="AH94" s="131"/>
      <c r="AI94" s="131"/>
      <c r="AJ94" s="131"/>
      <c r="AK94" s="131"/>
      <c r="AL94" s="131"/>
      <c r="AM94" s="131"/>
    </row>
    <row r="95" spans="1:236" s="1" customFormat="1" ht="12.95" customHeight="1" x14ac:dyDescent="0.2">
      <c r="A95" s="81"/>
      <c r="B95" s="81"/>
      <c r="C95" s="35"/>
      <c r="D95" s="35"/>
      <c r="E95" s="35"/>
      <c r="F95" s="35"/>
      <c r="G95" s="35"/>
      <c r="I95" s="81"/>
      <c r="J95" s="81"/>
      <c r="K95" s="35"/>
      <c r="L95" s="35"/>
      <c r="M95" s="35"/>
      <c r="N95" s="35"/>
      <c r="O95" s="35"/>
      <c r="P95" s="35"/>
      <c r="Q95" s="35"/>
      <c r="S95" s="81"/>
      <c r="T95" s="81"/>
      <c r="U95" s="81"/>
      <c r="V95" s="81"/>
      <c r="W95" s="35"/>
      <c r="X95" s="35"/>
      <c r="Y95" s="35"/>
      <c r="Z95" s="35"/>
      <c r="AA95" s="35"/>
      <c r="AB95" s="35"/>
      <c r="AC95" s="35"/>
      <c r="AF95" s="131"/>
      <c r="AG95" s="131"/>
      <c r="AH95" s="131"/>
      <c r="AI95" s="131"/>
      <c r="AJ95" s="131"/>
      <c r="AK95" s="131"/>
      <c r="AL95" s="131"/>
      <c r="AM95" s="131"/>
    </row>
    <row r="96" spans="1:236" s="1" customFormat="1" ht="12.95" customHeight="1" x14ac:dyDescent="0.2">
      <c r="A96" s="81"/>
      <c r="B96" s="81"/>
      <c r="C96" s="35"/>
      <c r="D96" s="35"/>
      <c r="E96" s="35"/>
      <c r="F96" s="35"/>
      <c r="G96" s="35"/>
      <c r="I96" s="81"/>
      <c r="J96" s="81"/>
      <c r="K96" s="35"/>
      <c r="L96" s="35"/>
      <c r="M96" s="35"/>
      <c r="N96" s="35"/>
      <c r="O96" s="35"/>
      <c r="P96" s="35"/>
      <c r="Q96" s="35"/>
      <c r="S96" s="81"/>
      <c r="T96" s="81"/>
      <c r="U96" s="35"/>
      <c r="V96" s="35"/>
      <c r="W96" s="35"/>
      <c r="X96" s="35"/>
      <c r="Y96" s="35"/>
      <c r="Z96" s="35"/>
      <c r="AA96" s="35"/>
      <c r="AB96" s="35"/>
      <c r="AF96" s="131"/>
      <c r="AG96" s="131"/>
      <c r="AH96" s="131"/>
      <c r="AI96" s="131"/>
      <c r="AJ96" s="131"/>
      <c r="AK96" s="131"/>
      <c r="AL96" s="131"/>
      <c r="AM96" s="131"/>
      <c r="AN96" s="131"/>
      <c r="AO96" s="131"/>
    </row>
    <row r="97" spans="1:41" s="1" customFormat="1" ht="12.95" customHeight="1" x14ac:dyDescent="0.2">
      <c r="A97" s="81"/>
      <c r="B97" s="81"/>
      <c r="C97" s="35"/>
      <c r="D97" s="35"/>
      <c r="E97" s="35"/>
      <c r="F97" s="35"/>
      <c r="G97" s="35"/>
      <c r="H97" s="35"/>
      <c r="I97" s="35"/>
      <c r="K97" s="81"/>
      <c r="L97" s="81"/>
      <c r="M97" s="35"/>
      <c r="N97" s="35"/>
      <c r="O97" s="35"/>
      <c r="P97" s="35"/>
      <c r="Q97" s="35"/>
      <c r="R97" s="35"/>
      <c r="S97" s="35"/>
      <c r="U97" s="35"/>
      <c r="V97" s="35"/>
      <c r="W97" s="35"/>
      <c r="X97" s="35"/>
      <c r="Y97" s="35"/>
      <c r="Z97" s="35"/>
      <c r="AA97" s="35"/>
      <c r="AB97" s="35"/>
      <c r="AD97" s="35"/>
      <c r="AH97" s="131"/>
      <c r="AI97" s="131"/>
      <c r="AJ97" s="131"/>
      <c r="AK97" s="131"/>
      <c r="AL97" s="131"/>
      <c r="AM97" s="131"/>
      <c r="AN97" s="131"/>
      <c r="AO97" s="131"/>
    </row>
    <row r="98" spans="1:41" s="1" customFormat="1" ht="12.95" customHeight="1" x14ac:dyDescent="0.2">
      <c r="A98" s="81"/>
      <c r="B98" s="81"/>
      <c r="C98" s="35"/>
      <c r="D98" s="35"/>
      <c r="E98" s="35"/>
      <c r="F98" s="35"/>
      <c r="G98" s="35"/>
      <c r="H98" s="35"/>
      <c r="I98" s="35"/>
      <c r="K98" s="81"/>
      <c r="L98" s="81"/>
      <c r="M98" s="35"/>
      <c r="N98" s="35"/>
      <c r="O98" s="35"/>
      <c r="P98" s="35"/>
      <c r="Q98" s="35"/>
      <c r="R98" s="35"/>
      <c r="S98" s="35"/>
      <c r="U98" s="81"/>
      <c r="V98" s="81"/>
      <c r="W98" s="35"/>
      <c r="X98" s="35"/>
      <c r="Y98" s="35"/>
      <c r="Z98" s="35"/>
      <c r="AA98" s="35"/>
      <c r="AB98" s="35"/>
      <c r="AC98" s="35"/>
      <c r="AD98" s="35"/>
      <c r="AH98" s="131"/>
      <c r="AI98" s="131"/>
      <c r="AJ98" s="131"/>
      <c r="AK98" s="131"/>
      <c r="AL98" s="131"/>
      <c r="AM98" s="131"/>
      <c r="AN98" s="131"/>
      <c r="AO98" s="131"/>
    </row>
    <row r="99" spans="1:41" s="1" customFormat="1" ht="12.95" customHeight="1" x14ac:dyDescent="0.2">
      <c r="A99" s="81"/>
      <c r="B99" s="81"/>
      <c r="C99" s="35"/>
      <c r="D99" s="35"/>
      <c r="E99" s="35"/>
      <c r="F99" s="35"/>
      <c r="G99" s="35"/>
      <c r="H99" s="35"/>
      <c r="I99" s="35"/>
      <c r="K99" s="81"/>
      <c r="L99" s="81"/>
      <c r="M99" s="35"/>
      <c r="N99" s="35"/>
      <c r="O99" s="35"/>
      <c r="P99" s="35"/>
      <c r="Q99" s="35"/>
      <c r="R99" s="35"/>
      <c r="S99" s="35"/>
      <c r="U99" s="81"/>
      <c r="V99" s="81"/>
      <c r="W99" s="35"/>
      <c r="X99" s="35"/>
      <c r="Y99" s="35"/>
      <c r="Z99" s="35"/>
      <c r="AA99" s="35"/>
      <c r="AB99" s="35"/>
      <c r="AC99" s="35"/>
      <c r="AD99" s="35"/>
      <c r="AH99" s="131"/>
      <c r="AI99" s="131"/>
      <c r="AJ99" s="131"/>
      <c r="AK99" s="131"/>
      <c r="AL99" s="131"/>
      <c r="AM99" s="131"/>
      <c r="AN99" s="131"/>
      <c r="AO99" s="131"/>
    </row>
    <row r="100" spans="1:41" s="1" customFormat="1" ht="12.95" customHeight="1" x14ac:dyDescent="0.2">
      <c r="A100" s="81"/>
      <c r="B100" s="81"/>
      <c r="C100" s="35"/>
      <c r="D100" s="35"/>
      <c r="E100" s="35"/>
      <c r="F100" s="35"/>
      <c r="G100" s="35"/>
      <c r="H100" s="35"/>
      <c r="I100" s="35"/>
      <c r="K100" s="81"/>
      <c r="L100" s="81"/>
      <c r="M100" s="35"/>
      <c r="N100" s="35"/>
      <c r="O100" s="35"/>
      <c r="P100" s="35"/>
      <c r="Q100" s="35"/>
      <c r="R100" s="35"/>
      <c r="S100" s="35"/>
      <c r="U100" s="81"/>
      <c r="V100" s="81"/>
      <c r="W100" s="35"/>
      <c r="X100" s="35"/>
      <c r="Y100" s="35"/>
      <c r="Z100" s="35"/>
      <c r="AA100" s="35"/>
      <c r="AB100" s="35"/>
      <c r="AC100" s="35"/>
      <c r="AD100" s="35"/>
      <c r="AH100" s="131"/>
      <c r="AI100" s="131"/>
      <c r="AJ100" s="131"/>
      <c r="AK100" s="131"/>
      <c r="AL100" s="131"/>
      <c r="AM100" s="131"/>
      <c r="AN100" s="131"/>
      <c r="AO100" s="131"/>
    </row>
    <row r="101" spans="1:41" s="1" customFormat="1" ht="12.95" customHeight="1" x14ac:dyDescent="0.2">
      <c r="A101" s="81"/>
      <c r="B101" s="81"/>
      <c r="C101" s="35"/>
      <c r="D101" s="35"/>
      <c r="E101" s="35"/>
      <c r="F101" s="35"/>
      <c r="G101" s="35"/>
      <c r="H101" s="35"/>
      <c r="I101" s="35"/>
      <c r="K101" s="81"/>
      <c r="L101" s="81"/>
      <c r="M101" s="35"/>
      <c r="N101" s="35"/>
      <c r="O101" s="35"/>
      <c r="P101" s="35"/>
      <c r="Q101" s="35"/>
      <c r="R101" s="35"/>
      <c r="S101" s="35"/>
      <c r="U101" s="81"/>
      <c r="V101" s="81"/>
      <c r="W101" s="35"/>
      <c r="X101" s="35"/>
      <c r="Y101" s="35"/>
      <c r="Z101" s="35"/>
      <c r="AA101" s="35"/>
      <c r="AB101" s="35"/>
      <c r="AC101" s="35"/>
      <c r="AD101" s="35"/>
      <c r="AH101" s="131"/>
      <c r="AI101" s="131"/>
      <c r="AJ101" s="131"/>
      <c r="AK101" s="131"/>
      <c r="AL101" s="131"/>
      <c r="AM101" s="131"/>
      <c r="AN101" s="131"/>
      <c r="AO101" s="131"/>
    </row>
    <row r="102" spans="1:41" s="1" customFormat="1" ht="12.95" customHeight="1" x14ac:dyDescent="0.2">
      <c r="A102" s="81"/>
      <c r="B102" s="81"/>
      <c r="C102" s="35"/>
      <c r="D102" s="35"/>
      <c r="E102" s="35"/>
      <c r="F102" s="35"/>
      <c r="G102" s="35"/>
      <c r="H102" s="35"/>
      <c r="I102" s="35"/>
      <c r="K102" s="81"/>
      <c r="L102" s="81"/>
      <c r="M102" s="35"/>
      <c r="N102" s="35"/>
      <c r="O102" s="35"/>
      <c r="P102" s="35"/>
      <c r="Q102" s="35"/>
      <c r="R102" s="35"/>
      <c r="S102" s="35"/>
      <c r="U102" s="81"/>
      <c r="V102" s="81"/>
      <c r="W102" s="35"/>
      <c r="X102" s="35"/>
      <c r="Y102" s="35"/>
      <c r="Z102" s="35"/>
      <c r="AA102" s="35"/>
      <c r="AB102" s="35"/>
      <c r="AC102" s="35"/>
      <c r="AD102" s="35"/>
      <c r="AH102" s="131"/>
      <c r="AI102" s="131"/>
      <c r="AJ102" s="131"/>
      <c r="AK102" s="131"/>
      <c r="AL102" s="131"/>
      <c r="AM102" s="131"/>
      <c r="AN102" s="131"/>
      <c r="AO102" s="131"/>
    </row>
    <row r="103" spans="1:41" s="1" customFormat="1" ht="12.95" customHeight="1" x14ac:dyDescent="0.2">
      <c r="A103" s="81"/>
      <c r="B103" s="81"/>
      <c r="C103" s="35"/>
      <c r="D103" s="35"/>
      <c r="E103" s="35"/>
      <c r="F103" s="35"/>
      <c r="G103" s="35"/>
      <c r="H103" s="35"/>
      <c r="I103" s="35"/>
      <c r="K103" s="81"/>
      <c r="L103" s="81"/>
      <c r="M103" s="35"/>
      <c r="N103" s="35"/>
      <c r="O103" s="35"/>
      <c r="P103" s="35"/>
      <c r="Q103" s="35"/>
      <c r="R103" s="35"/>
      <c r="S103" s="35"/>
      <c r="U103" s="81"/>
      <c r="V103" s="81"/>
      <c r="W103" s="35"/>
      <c r="X103" s="35"/>
      <c r="Y103" s="35"/>
      <c r="Z103" s="35"/>
      <c r="AA103" s="35"/>
      <c r="AB103" s="35"/>
      <c r="AC103" s="35"/>
      <c r="AD103" s="35"/>
      <c r="AH103" s="131"/>
      <c r="AI103" s="131"/>
      <c r="AJ103" s="131"/>
      <c r="AK103" s="131"/>
      <c r="AL103" s="131"/>
      <c r="AM103" s="131"/>
      <c r="AN103" s="131"/>
      <c r="AO103" s="131"/>
    </row>
    <row r="104" spans="1:41" s="1" customFormat="1" ht="12.95" customHeight="1" x14ac:dyDescent="0.2">
      <c r="A104" s="81"/>
      <c r="B104" s="81"/>
      <c r="C104" s="35"/>
      <c r="D104" s="35"/>
      <c r="E104" s="35"/>
      <c r="F104" s="35"/>
      <c r="G104" s="35"/>
      <c r="H104" s="35"/>
      <c r="I104" s="35"/>
      <c r="K104" s="81"/>
      <c r="L104" s="81"/>
      <c r="M104" s="35"/>
      <c r="N104" s="35"/>
      <c r="O104" s="35"/>
      <c r="P104" s="35"/>
      <c r="Q104" s="35"/>
      <c r="R104" s="35"/>
      <c r="S104" s="35"/>
      <c r="U104" s="81"/>
      <c r="V104" s="81"/>
      <c r="W104" s="35"/>
      <c r="X104" s="35"/>
      <c r="Y104" s="35"/>
      <c r="Z104" s="35"/>
      <c r="AA104" s="35"/>
      <c r="AB104" s="35"/>
      <c r="AC104" s="35"/>
      <c r="AD104" s="35"/>
      <c r="AH104" s="131"/>
      <c r="AI104" s="131"/>
      <c r="AJ104" s="131"/>
      <c r="AK104" s="131"/>
    </row>
    <row r="105" spans="1:41" s="1" customFormat="1" ht="12.95" customHeight="1" x14ac:dyDescent="0.2">
      <c r="A105" s="81"/>
      <c r="B105" s="81"/>
      <c r="C105" s="35"/>
      <c r="D105" s="35"/>
      <c r="E105" s="35"/>
      <c r="F105" s="35"/>
      <c r="G105" s="35"/>
      <c r="H105" s="35"/>
      <c r="I105" s="35"/>
      <c r="K105" s="81"/>
      <c r="L105" s="81"/>
      <c r="M105" s="35"/>
      <c r="N105" s="35"/>
      <c r="O105" s="35"/>
      <c r="P105" s="35"/>
      <c r="Q105" s="35"/>
      <c r="R105" s="35"/>
      <c r="S105" s="35"/>
      <c r="U105" s="81"/>
      <c r="V105" s="81"/>
      <c r="W105" s="35"/>
      <c r="X105" s="35"/>
      <c r="Y105" s="35"/>
      <c r="Z105" s="35"/>
      <c r="AA105" s="35"/>
      <c r="AB105" s="35"/>
      <c r="AC105" s="35"/>
      <c r="AD105" s="35"/>
    </row>
    <row r="106" spans="1:41" s="1" customFormat="1" ht="12.95" customHeight="1" x14ac:dyDescent="0.2">
      <c r="A106" s="81"/>
      <c r="B106" s="81"/>
      <c r="C106" s="35"/>
      <c r="D106" s="35"/>
      <c r="E106" s="35"/>
      <c r="F106" s="35"/>
      <c r="G106" s="35"/>
      <c r="H106" s="35"/>
      <c r="I106" s="35"/>
      <c r="K106" s="81"/>
      <c r="L106" s="81"/>
      <c r="M106" s="35"/>
      <c r="N106" s="35"/>
      <c r="O106" s="35"/>
      <c r="P106" s="35"/>
      <c r="Q106" s="35"/>
      <c r="R106" s="35"/>
      <c r="S106" s="35"/>
      <c r="U106" s="81"/>
      <c r="V106" s="81"/>
      <c r="W106" s="35"/>
      <c r="X106" s="35"/>
      <c r="Y106" s="35"/>
      <c r="Z106" s="35"/>
      <c r="AA106" s="35"/>
      <c r="AB106" s="35"/>
      <c r="AC106" s="35"/>
      <c r="AD106" s="35"/>
      <c r="AL106" s="131"/>
      <c r="AM106" s="131"/>
      <c r="AN106" s="131"/>
      <c r="AO106" s="131"/>
    </row>
    <row r="107" spans="1:41" s="1" customFormat="1" ht="12.95" customHeight="1" x14ac:dyDescent="0.2">
      <c r="A107" s="81"/>
      <c r="B107" s="81"/>
      <c r="C107" s="35"/>
      <c r="D107" s="35"/>
      <c r="E107" s="35"/>
      <c r="F107" s="35"/>
      <c r="G107" s="35"/>
      <c r="H107" s="35"/>
      <c r="I107" s="35"/>
      <c r="K107" s="81"/>
      <c r="L107" s="81"/>
      <c r="M107" s="35"/>
      <c r="N107" s="35"/>
      <c r="O107" s="35"/>
      <c r="P107" s="35"/>
      <c r="Q107" s="35"/>
      <c r="R107" s="35"/>
      <c r="S107" s="35"/>
      <c r="U107" s="81"/>
      <c r="V107" s="81"/>
      <c r="W107" s="35"/>
      <c r="X107" s="35"/>
      <c r="Y107" s="35"/>
      <c r="Z107" s="35"/>
      <c r="AA107" s="35"/>
      <c r="AB107" s="35"/>
      <c r="AC107" s="35"/>
      <c r="AD107" s="35"/>
      <c r="AH107" s="131"/>
      <c r="AI107" s="131"/>
      <c r="AJ107" s="131"/>
      <c r="AK107" s="131"/>
      <c r="AL107" s="131"/>
      <c r="AM107" s="131"/>
      <c r="AN107" s="131"/>
      <c r="AO107" s="131"/>
    </row>
    <row r="108" spans="1:41" s="1" customFormat="1" ht="12.95" customHeight="1" x14ac:dyDescent="0.2">
      <c r="A108" s="81"/>
      <c r="B108" s="81"/>
      <c r="C108" s="35"/>
      <c r="D108" s="35"/>
      <c r="E108" s="35"/>
      <c r="F108" s="35"/>
      <c r="G108" s="35"/>
      <c r="H108" s="35"/>
      <c r="I108" s="35"/>
      <c r="K108" s="81"/>
      <c r="L108" s="81"/>
      <c r="M108" s="35"/>
      <c r="N108" s="35"/>
      <c r="O108" s="35"/>
      <c r="P108" s="35"/>
      <c r="Q108" s="35"/>
      <c r="R108" s="35"/>
      <c r="S108" s="35"/>
      <c r="U108" s="81"/>
      <c r="V108" s="81"/>
      <c r="W108" s="35"/>
      <c r="X108" s="35"/>
      <c r="Y108" s="35"/>
      <c r="Z108" s="35"/>
      <c r="AA108" s="35"/>
      <c r="AB108" s="35"/>
      <c r="AC108" s="35"/>
      <c r="AD108" s="35"/>
      <c r="AH108" s="131"/>
      <c r="AI108" s="131"/>
      <c r="AJ108" s="131"/>
      <c r="AK108" s="131"/>
    </row>
    <row r="109" spans="1:41" s="1" customFormat="1" ht="12.95" customHeight="1" x14ac:dyDescent="0.2">
      <c r="A109" s="81"/>
      <c r="B109" s="81"/>
      <c r="C109" s="35"/>
      <c r="D109" s="35"/>
      <c r="E109" s="35"/>
      <c r="F109" s="35"/>
      <c r="G109" s="35"/>
      <c r="H109" s="35"/>
      <c r="I109" s="35"/>
      <c r="K109" s="81"/>
      <c r="L109" s="81"/>
      <c r="M109" s="35"/>
      <c r="N109" s="35"/>
      <c r="O109" s="35"/>
      <c r="P109" s="35"/>
      <c r="Q109" s="35"/>
      <c r="R109" s="35"/>
      <c r="S109" s="35"/>
      <c r="U109" s="81"/>
      <c r="V109" s="81"/>
      <c r="W109" s="35"/>
      <c r="X109" s="35"/>
      <c r="Y109" s="35"/>
      <c r="Z109" s="35"/>
      <c r="AA109" s="35"/>
      <c r="AB109" s="35"/>
      <c r="AC109" s="35"/>
      <c r="AD109" s="35"/>
      <c r="AL109" s="44"/>
      <c r="AM109" s="44"/>
      <c r="AN109" s="44"/>
      <c r="AO109" s="44"/>
    </row>
    <row r="110" spans="1:41" s="1" customFormat="1" ht="12.95" customHeight="1" x14ac:dyDescent="0.2">
      <c r="A110" s="81"/>
      <c r="B110" s="81"/>
      <c r="C110" s="35"/>
      <c r="D110" s="35"/>
      <c r="E110" s="35"/>
      <c r="F110" s="35"/>
      <c r="G110" s="35"/>
      <c r="H110" s="35"/>
      <c r="I110" s="35"/>
      <c r="K110" s="81"/>
      <c r="L110" s="81"/>
      <c r="M110" s="35"/>
      <c r="N110" s="35"/>
      <c r="O110" s="35"/>
      <c r="P110" s="35"/>
      <c r="Q110" s="35"/>
      <c r="R110" s="35"/>
      <c r="S110" s="35"/>
      <c r="U110" s="81"/>
      <c r="V110" s="81"/>
      <c r="W110" s="35"/>
      <c r="X110" s="35"/>
      <c r="Y110" s="35"/>
      <c r="Z110" s="35"/>
      <c r="AA110" s="35"/>
      <c r="AB110" s="35"/>
      <c r="AC110" s="35"/>
      <c r="AD110" s="35"/>
      <c r="AH110" s="44"/>
      <c r="AI110" s="44"/>
      <c r="AJ110" s="44"/>
      <c r="AK110" s="44"/>
      <c r="AL110" s="142"/>
      <c r="AM110" s="142"/>
      <c r="AN110" s="142"/>
      <c r="AO110" s="142"/>
    </row>
    <row r="111" spans="1:41" s="1" customFormat="1" ht="12.95" customHeight="1" x14ac:dyDescent="0.2">
      <c r="A111" s="81"/>
      <c r="B111" s="81"/>
      <c r="C111" s="35"/>
      <c r="D111" s="35"/>
      <c r="E111" s="35"/>
      <c r="F111" s="35"/>
      <c r="G111" s="35"/>
      <c r="H111" s="35"/>
      <c r="I111" s="35"/>
      <c r="K111" s="81"/>
      <c r="L111" s="81"/>
      <c r="M111" s="35"/>
      <c r="N111" s="35"/>
      <c r="O111" s="35"/>
      <c r="P111" s="35"/>
      <c r="Q111" s="35"/>
      <c r="R111" s="35"/>
      <c r="S111" s="35"/>
      <c r="U111" s="81"/>
      <c r="V111" s="81"/>
      <c r="W111" s="35"/>
      <c r="X111" s="35"/>
      <c r="Y111" s="35"/>
      <c r="Z111" s="35"/>
      <c r="AA111" s="35"/>
      <c r="AB111" s="35"/>
      <c r="AC111" s="35"/>
      <c r="AD111" s="35"/>
      <c r="AH111" s="142"/>
      <c r="AI111" s="142"/>
      <c r="AJ111" s="142"/>
      <c r="AK111" s="142"/>
      <c r="AL111" s="44"/>
      <c r="AM111" s="44"/>
      <c r="AN111" s="44"/>
      <c r="AO111" s="44"/>
    </row>
    <row r="112" spans="1:41" s="1" customFormat="1" ht="12.95" customHeight="1" x14ac:dyDescent="0.2">
      <c r="A112" s="81"/>
      <c r="B112" s="81"/>
      <c r="C112" s="35"/>
      <c r="D112" s="35"/>
      <c r="E112" s="35"/>
      <c r="F112" s="35"/>
      <c r="G112" s="35"/>
      <c r="H112" s="35"/>
      <c r="I112" s="35"/>
      <c r="K112" s="81"/>
      <c r="L112" s="81"/>
      <c r="M112" s="35"/>
      <c r="N112" s="35"/>
      <c r="O112" s="35"/>
      <c r="P112" s="35"/>
      <c r="Q112" s="35"/>
      <c r="R112" s="35"/>
      <c r="S112" s="35"/>
      <c r="U112" s="81"/>
      <c r="V112" s="81"/>
      <c r="W112" s="35"/>
      <c r="X112" s="35"/>
      <c r="Y112" s="35"/>
      <c r="Z112" s="35"/>
      <c r="AA112" s="35"/>
      <c r="AB112" s="35"/>
      <c r="AC112" s="35"/>
      <c r="AD112" s="35"/>
      <c r="AH112" s="44"/>
      <c r="AI112" s="44"/>
      <c r="AJ112" s="44"/>
      <c r="AK112" s="44"/>
    </row>
    <row r="113" spans="1:42" s="1" customFormat="1" ht="12.95" customHeight="1" x14ac:dyDescent="0.2">
      <c r="A113" s="81"/>
      <c r="B113" s="81"/>
      <c r="C113" s="35"/>
      <c r="D113" s="35"/>
      <c r="E113" s="35"/>
      <c r="F113" s="35"/>
      <c r="G113" s="35"/>
      <c r="H113" s="35"/>
      <c r="I113" s="35"/>
      <c r="K113" s="81"/>
      <c r="L113" s="81"/>
      <c r="M113" s="35"/>
      <c r="N113" s="35"/>
      <c r="O113" s="35"/>
      <c r="P113" s="35"/>
      <c r="Q113" s="35"/>
      <c r="R113" s="35"/>
      <c r="S113" s="35"/>
      <c r="U113" s="81"/>
      <c r="V113" s="81"/>
      <c r="W113" s="35"/>
      <c r="X113" s="35"/>
      <c r="Y113" s="35"/>
      <c r="Z113" s="35"/>
      <c r="AA113" s="35"/>
      <c r="AB113" s="35"/>
      <c r="AC113" s="35"/>
      <c r="AD113" s="35"/>
      <c r="AL113" s="35"/>
      <c r="AM113" s="35"/>
      <c r="AN113" s="35"/>
      <c r="AO113" s="35"/>
      <c r="AP113" s="35"/>
    </row>
    <row r="114" spans="1:42" s="35" customFormat="1" ht="12.95" customHeight="1" x14ac:dyDescent="0.2">
      <c r="A114" s="81"/>
      <c r="B114" s="81"/>
      <c r="J114" s="1"/>
      <c r="K114" s="81"/>
      <c r="L114" s="81"/>
      <c r="U114" s="81"/>
      <c r="V114" s="81"/>
    </row>
    <row r="115" spans="1:42" s="35" customFormat="1" ht="12.95" customHeight="1" x14ac:dyDescent="0.2">
      <c r="A115" s="81"/>
      <c r="B115" s="81"/>
      <c r="K115" s="81"/>
      <c r="L115" s="81"/>
      <c r="U115" s="81"/>
      <c r="V115" s="81"/>
    </row>
    <row r="116" spans="1:42" s="35" customFormat="1" ht="12.95" customHeight="1" x14ac:dyDescent="0.2">
      <c r="A116" s="81"/>
      <c r="B116" s="81"/>
      <c r="K116" s="81"/>
      <c r="L116" s="81"/>
      <c r="U116" s="81"/>
      <c r="V116" s="81"/>
    </row>
    <row r="117" spans="1:42" s="35" customFormat="1" ht="12.95" customHeight="1" x14ac:dyDescent="0.2">
      <c r="A117" s="81"/>
      <c r="B117" s="81"/>
      <c r="K117" s="81"/>
      <c r="L117" s="81"/>
      <c r="U117" s="81"/>
      <c r="V117" s="81"/>
    </row>
    <row r="118" spans="1:42" ht="12.95" customHeight="1" x14ac:dyDescent="0.2">
      <c r="J118" s="58"/>
    </row>
    <row r="119" spans="1:42" ht="12.95" customHeight="1" x14ac:dyDescent="0.2">
      <c r="J119" s="58"/>
    </row>
    <row r="120" spans="1:42" ht="12.95" customHeight="1" x14ac:dyDescent="0.2">
      <c r="J120" s="58"/>
    </row>
    <row r="121" spans="1:42" ht="12.95" customHeight="1" x14ac:dyDescent="0.2">
      <c r="J121" s="58"/>
    </row>
    <row r="122" spans="1:42" ht="12.95" customHeight="1" x14ac:dyDescent="0.2">
      <c r="J122" s="58"/>
    </row>
    <row r="123" spans="1:42" ht="12.95" customHeight="1" x14ac:dyDescent="0.2">
      <c r="J123" s="58"/>
    </row>
  </sheetData>
  <sheetProtection algorithmName="SHA-512" hashValue="b6G/sn+2d3y4eXECRFYOqa87LiOiBZspUEiEYEYVHH+8yd1sn0l6Ga/k3UoX4Uwg/rKF5ZP26MEgz5Ggx6Tciw==" saltValue="AlpONCOCJumXop3ZP81J5g==" spinCount="100000" sheet="1" selectLockedCells="1"/>
  <protectedRanges>
    <protectedRange sqref="M24:N53" name="KD_DS"/>
    <protectedRange sqref="K1 U1" name="LOGO_und_Schriftkopf"/>
    <protectedRange sqref="F19:F48" name="KD_DS_2"/>
    <protectedRange sqref="A1 A63" name="LOGO_und_Schriftkopf_2"/>
  </protectedRanges>
  <mergeCells count="167">
    <mergeCell ref="AR22:AR23"/>
    <mergeCell ref="AS22:AS23"/>
    <mergeCell ref="AT22:AT23"/>
    <mergeCell ref="AU22:AU23"/>
    <mergeCell ref="AQ20:AU21"/>
    <mergeCell ref="AE22:AF22"/>
    <mergeCell ref="A71:I71"/>
    <mergeCell ref="M21:M22"/>
    <mergeCell ref="N21:N22"/>
    <mergeCell ref="M57:N57"/>
    <mergeCell ref="A63:I69"/>
    <mergeCell ref="B48:C48"/>
    <mergeCell ref="D48:E48"/>
    <mergeCell ref="F48:H48"/>
    <mergeCell ref="A49:B49"/>
    <mergeCell ref="B46:C46"/>
    <mergeCell ref="D46:E46"/>
    <mergeCell ref="F46:H46"/>
    <mergeCell ref="B47:C47"/>
    <mergeCell ref="D47:E47"/>
    <mergeCell ref="F47:H47"/>
    <mergeCell ref="B44:C44"/>
    <mergeCell ref="D44:E44"/>
    <mergeCell ref="F44:H44"/>
    <mergeCell ref="U1:AC7"/>
    <mergeCell ref="AB9:AC9"/>
    <mergeCell ref="U10:AC10"/>
    <mergeCell ref="W12:Z12"/>
    <mergeCell ref="U13:V13"/>
    <mergeCell ref="W13:Z13"/>
    <mergeCell ref="U50:Y50"/>
    <mergeCell ref="U32:AC32"/>
    <mergeCell ref="K1:S7"/>
    <mergeCell ref="K10:S10"/>
    <mergeCell ref="K16:M16"/>
    <mergeCell ref="K17:M17"/>
    <mergeCell ref="K19:M19"/>
    <mergeCell ref="K18:M18"/>
    <mergeCell ref="R9:S9"/>
    <mergeCell ref="M12:P12"/>
    <mergeCell ref="K13:L13"/>
    <mergeCell ref="M13:P13"/>
    <mergeCell ref="U14:AC14"/>
    <mergeCell ref="U11:AC11"/>
    <mergeCell ref="U38:AC38"/>
    <mergeCell ref="U47:AC47"/>
    <mergeCell ref="U49:AC49"/>
    <mergeCell ref="B45:C45"/>
    <mergeCell ref="D45:E45"/>
    <mergeCell ref="F45:H45"/>
    <mergeCell ref="B42:C42"/>
    <mergeCell ref="D42:E42"/>
    <mergeCell ref="F42:H42"/>
    <mergeCell ref="B43:C43"/>
    <mergeCell ref="D43:E43"/>
    <mergeCell ref="F43:H43"/>
    <mergeCell ref="B40:C40"/>
    <mergeCell ref="D40:E40"/>
    <mergeCell ref="F40:H40"/>
    <mergeCell ref="B41:C41"/>
    <mergeCell ref="D41:E41"/>
    <mergeCell ref="F41:H41"/>
    <mergeCell ref="B38:C38"/>
    <mergeCell ref="D38:E38"/>
    <mergeCell ref="F38:H38"/>
    <mergeCell ref="B39:C39"/>
    <mergeCell ref="D39:E39"/>
    <mergeCell ref="F39:H39"/>
    <mergeCell ref="B36:C36"/>
    <mergeCell ref="D36:E36"/>
    <mergeCell ref="F36:H36"/>
    <mergeCell ref="B37:C37"/>
    <mergeCell ref="D37:E37"/>
    <mergeCell ref="F37:H37"/>
    <mergeCell ref="B34:C34"/>
    <mergeCell ref="D34:E34"/>
    <mergeCell ref="F34:H34"/>
    <mergeCell ref="B35:C35"/>
    <mergeCell ref="D35:E35"/>
    <mergeCell ref="F35:H35"/>
    <mergeCell ref="B32:C32"/>
    <mergeCell ref="D32:E32"/>
    <mergeCell ref="F32:H32"/>
    <mergeCell ref="B33:C33"/>
    <mergeCell ref="D33:E33"/>
    <mergeCell ref="F33:H33"/>
    <mergeCell ref="B30:C30"/>
    <mergeCell ref="D30:E30"/>
    <mergeCell ref="F30:H30"/>
    <mergeCell ref="B31:C31"/>
    <mergeCell ref="D31:E31"/>
    <mergeCell ref="F31:H31"/>
    <mergeCell ref="B28:C28"/>
    <mergeCell ref="D28:E28"/>
    <mergeCell ref="F28:H28"/>
    <mergeCell ref="B29:C29"/>
    <mergeCell ref="D29:E29"/>
    <mergeCell ref="F29:H29"/>
    <mergeCell ref="B26:C26"/>
    <mergeCell ref="D26:E26"/>
    <mergeCell ref="F26:H26"/>
    <mergeCell ref="B27:C27"/>
    <mergeCell ref="D27:E27"/>
    <mergeCell ref="F27:H27"/>
    <mergeCell ref="F25:H25"/>
    <mergeCell ref="B22:C22"/>
    <mergeCell ref="D22:E22"/>
    <mergeCell ref="A1:I7"/>
    <mergeCell ref="H9:I9"/>
    <mergeCell ref="A10:I10"/>
    <mergeCell ref="C12:G12"/>
    <mergeCell ref="A13:B13"/>
    <mergeCell ref="C13:G13"/>
    <mergeCell ref="B20:C20"/>
    <mergeCell ref="D20:E20"/>
    <mergeCell ref="F20:H20"/>
    <mergeCell ref="B18:C18"/>
    <mergeCell ref="D18:E18"/>
    <mergeCell ref="F18:H18"/>
    <mergeCell ref="B19:C19"/>
    <mergeCell ref="D19:E19"/>
    <mergeCell ref="F19:H19"/>
    <mergeCell ref="F22:H22"/>
    <mergeCell ref="B23:C23"/>
    <mergeCell ref="D23:E23"/>
    <mergeCell ref="F23:H23"/>
    <mergeCell ref="AE20:AF21"/>
    <mergeCell ref="AH20:AJ21"/>
    <mergeCell ref="AL20:AO21"/>
    <mergeCell ref="U15:AC26"/>
    <mergeCell ref="U31:AC31"/>
    <mergeCell ref="U33:AC33"/>
    <mergeCell ref="U27:AC27"/>
    <mergeCell ref="A59:I61"/>
    <mergeCell ref="P16:S16"/>
    <mergeCell ref="P17:S17"/>
    <mergeCell ref="B16:C16"/>
    <mergeCell ref="D16:E16"/>
    <mergeCell ref="F16:H16"/>
    <mergeCell ref="B17:C17"/>
    <mergeCell ref="D17:E17"/>
    <mergeCell ref="F17:H17"/>
    <mergeCell ref="B21:C21"/>
    <mergeCell ref="D21:E21"/>
    <mergeCell ref="F21:H21"/>
    <mergeCell ref="B24:C24"/>
    <mergeCell ref="D24:E24"/>
    <mergeCell ref="F24:H24"/>
    <mergeCell ref="B25:C25"/>
    <mergeCell ref="D25:E25"/>
    <mergeCell ref="U53:AC61"/>
    <mergeCell ref="AM55:AO55"/>
    <mergeCell ref="U44:AC46"/>
    <mergeCell ref="U28:AC30"/>
    <mergeCell ref="U43:AC43"/>
    <mergeCell ref="U51:AC51"/>
    <mergeCell ref="V39:AA39"/>
    <mergeCell ref="V40:AA40"/>
    <mergeCell ref="V41:AA41"/>
    <mergeCell ref="V42:AA42"/>
    <mergeCell ref="U36:X36"/>
    <mergeCell ref="U34:X34"/>
    <mergeCell ref="Y35:AA35"/>
    <mergeCell ref="Y37:AA37"/>
    <mergeCell ref="U35:X35"/>
    <mergeCell ref="AB34:AC35"/>
    <mergeCell ref="U48:AC48"/>
  </mergeCells>
  <phoneticPr fontId="0" type="noConversion"/>
  <conditionalFormatting sqref="M24:N53">
    <cfRule type="cellIs" dxfId="34" priority="41" operator="greaterThan">
      <formula>0</formula>
    </cfRule>
  </conditionalFormatting>
  <conditionalFormatting sqref="F46">
    <cfRule type="cellIs" dxfId="33" priority="23" operator="greaterThan">
      <formula>0</formula>
    </cfRule>
  </conditionalFormatting>
  <conditionalFormatting sqref="F19:F24 F47:F48">
    <cfRule type="cellIs" dxfId="32" priority="40" operator="greaterThan">
      <formula>0</formula>
    </cfRule>
  </conditionalFormatting>
  <conditionalFormatting sqref="F25">
    <cfRule type="cellIs" dxfId="31" priority="39" operator="greaterThan">
      <formula>0</formula>
    </cfRule>
  </conditionalFormatting>
  <conditionalFormatting sqref="F26">
    <cfRule type="cellIs" dxfId="30" priority="38" operator="greaterThan">
      <formula>0</formula>
    </cfRule>
  </conditionalFormatting>
  <conditionalFormatting sqref="F27:F28">
    <cfRule type="cellIs" dxfId="29" priority="37" operator="greaterThan">
      <formula>0</formula>
    </cfRule>
  </conditionalFormatting>
  <conditionalFormatting sqref="F29">
    <cfRule type="cellIs" dxfId="28" priority="36" operator="greaterThan">
      <formula>0</formula>
    </cfRule>
  </conditionalFormatting>
  <conditionalFormatting sqref="F30">
    <cfRule type="cellIs" dxfId="27" priority="35" operator="greaterThan">
      <formula>0</formula>
    </cfRule>
  </conditionalFormatting>
  <conditionalFormatting sqref="F31:F32">
    <cfRule type="cellIs" dxfId="26" priority="34" operator="greaterThan">
      <formula>0</formula>
    </cfRule>
  </conditionalFormatting>
  <conditionalFormatting sqref="F33">
    <cfRule type="cellIs" dxfId="25" priority="33" operator="greaterThan">
      <formula>0</formula>
    </cfRule>
  </conditionalFormatting>
  <conditionalFormatting sqref="F34">
    <cfRule type="cellIs" dxfId="24" priority="32" operator="greaterThan">
      <formula>0</formula>
    </cfRule>
  </conditionalFormatting>
  <conditionalFormatting sqref="F35:F36">
    <cfRule type="cellIs" dxfId="23" priority="31" operator="greaterThan">
      <formula>0</formula>
    </cfRule>
  </conditionalFormatting>
  <conditionalFormatting sqref="F37">
    <cfRule type="cellIs" dxfId="22" priority="30" operator="greaterThan">
      <formula>0</formula>
    </cfRule>
  </conditionalFormatting>
  <conditionalFormatting sqref="F38">
    <cfRule type="cellIs" dxfId="21" priority="29" operator="greaterThan">
      <formula>0</formula>
    </cfRule>
  </conditionalFormatting>
  <conditionalFormatting sqref="F39:F40">
    <cfRule type="cellIs" dxfId="20" priority="28" operator="greaterThan">
      <formula>0</formula>
    </cfRule>
  </conditionalFormatting>
  <conditionalFormatting sqref="F41">
    <cfRule type="cellIs" dxfId="19" priority="27" operator="greaterThan">
      <formula>0</formula>
    </cfRule>
  </conditionalFormatting>
  <conditionalFormatting sqref="F42">
    <cfRule type="cellIs" dxfId="18" priority="26" operator="greaterThan">
      <formula>0</formula>
    </cfRule>
  </conditionalFormatting>
  <conditionalFormatting sqref="F43:F44">
    <cfRule type="cellIs" dxfId="17" priority="25" operator="greaterThan">
      <formula>0</formula>
    </cfRule>
  </conditionalFormatting>
  <conditionalFormatting sqref="F45">
    <cfRule type="cellIs" dxfId="16" priority="24" operator="greaterThan">
      <formula>0</formula>
    </cfRule>
  </conditionalFormatting>
  <conditionalFormatting sqref="Y35:AA35">
    <cfRule type="cellIs" dxfId="15" priority="20" operator="lessThan">
      <formula>0.0001</formula>
    </cfRule>
    <cfRule type="cellIs" dxfId="14" priority="21" operator="lessThan">
      <formula>0.001</formula>
    </cfRule>
  </conditionalFormatting>
  <conditionalFormatting sqref="AD33:AD34 AB34:AC35">
    <cfRule type="cellIs" dxfId="13" priority="18" operator="equal">
      <formula>"ACHTUNG! Fragwürdiger Bereich!"</formula>
    </cfRule>
    <cfRule type="cellIs" dxfId="12" priority="19" operator="equal">
      <formula>"ACHTUNG! Bedenklicher Bereich!"</formula>
    </cfRule>
  </conditionalFormatting>
  <conditionalFormatting sqref="K83">
    <cfRule type="cellIs" dxfId="11" priority="14" operator="equal">
      <formula>"Ergebis bei NIEDRIGSTER Geschwindigkeit ist KEIN Durchschuss! =&gt; OK"</formula>
    </cfRule>
  </conditionalFormatting>
  <conditionalFormatting sqref="K84">
    <cfRule type="cellIs" dxfId="10" priority="13" operator="equal">
      <formula>"Ergebnis bei HÖCHSTER Geschwindigkeit ist EIN Durchschuss! =&gt; OK!"</formula>
    </cfRule>
  </conditionalFormatting>
  <conditionalFormatting sqref="K82">
    <cfRule type="cellIs" dxfId="9" priority="12" operator="equal">
      <formula>"Schussanzahl ≥ 12 =&gt; OK!"</formula>
    </cfRule>
  </conditionalFormatting>
  <conditionalFormatting sqref="I73:I79">
    <cfRule type="cellIs" dxfId="8" priority="11" operator="equal">
      <formula>"OK!"</formula>
    </cfRule>
  </conditionalFormatting>
  <conditionalFormatting sqref="I81:I87">
    <cfRule type="cellIs" dxfId="7" priority="9" operator="equal">
      <formula>"OK!"</formula>
    </cfRule>
  </conditionalFormatting>
  <conditionalFormatting sqref="I85">
    <cfRule type="cellIs" dxfId="6" priority="8" operator="equal">
      <formula>"fast!"</formula>
    </cfRule>
  </conditionalFormatting>
  <conditionalFormatting sqref="I80">
    <cfRule type="cellIs" dxfId="5" priority="7" operator="equal">
      <formula>"OK!"</formula>
    </cfRule>
  </conditionalFormatting>
  <conditionalFormatting sqref="K24:L24">
    <cfRule type="expression" dxfId="4" priority="5">
      <formula>"$AJ$24=1"</formula>
    </cfRule>
  </conditionalFormatting>
  <conditionalFormatting sqref="K25:L25">
    <cfRule type="expression" dxfId="3" priority="6">
      <formula>"$AJ$25=1"</formula>
    </cfRule>
  </conditionalFormatting>
  <conditionalFormatting sqref="N17">
    <cfRule type="cellIs" dxfId="2" priority="2" operator="equal">
      <formula>10</formula>
    </cfRule>
    <cfRule type="cellIs" dxfId="1" priority="3" operator="equal">
      <formula>5</formula>
    </cfRule>
  </conditionalFormatting>
  <conditionalFormatting sqref="I74">
    <cfRule type="cellIs" dxfId="0" priority="1" operator="equal">
      <formula>"NEIN!"</formula>
    </cfRule>
  </conditionalFormatting>
  <printOptions horizontalCentered="1"/>
  <pageMargins left="0.98425196850393704" right="0.78740157480314965" top="0.78740157480314965" bottom="0.78740157480314965" header="0.51181102362204722" footer="0.51181102362204722"/>
  <pageSetup paperSize="9" scale="89" orientation="portrait" r:id="rId1"/>
  <headerFooter>
    <oddHeader>&amp;C&amp;"Arial,Fett"&amp;K000000Ermittlung von Mittelwert und Standardabweichung nach VPAM-KNB</oddHeader>
    <oddFooter>&amp;L&amp;"Arial,Fett"&amp;K000000VPAM-ZD #01&amp;C&amp;"Arial,Fett"&amp;K000000Formular zu VPAM-AND #02</oddFooter>
  </headerFooter>
  <ignoredErrors>
    <ignoredError sqref="I20 I22" evalError="1"/>
    <ignoredError sqref="D5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22E9-3A55-4679-96CC-AD5B1F2B60B6}">
  <sheetPr codeName="Tabelle1"/>
  <dimension ref="A2:AL248"/>
  <sheetViews>
    <sheetView showGridLines="0" view="pageBreakPreview" zoomScale="115" zoomScaleNormal="77" zoomScaleSheetLayoutView="115" workbookViewId="0">
      <selection activeCell="M27" sqref="M27"/>
    </sheetView>
  </sheetViews>
  <sheetFormatPr baseColWidth="10" defaultColWidth="11.5703125" defaultRowHeight="12.75" x14ac:dyDescent="0.2"/>
  <cols>
    <col min="1" max="11" width="11.5703125" style="40"/>
    <col min="12" max="12" width="11.5703125" style="264"/>
    <col min="13" max="13" width="11.5703125" style="265" customWidth="1"/>
    <col min="14" max="17" width="11.5703125" style="153" customWidth="1"/>
    <col min="18" max="18" width="12" style="153" customWidth="1"/>
    <col min="19" max="22" width="11.5703125" style="153" customWidth="1"/>
    <col min="23" max="23" width="11.5703125" style="154" customWidth="1"/>
    <col min="24" max="30" width="11.5703125" style="152" customWidth="1"/>
    <col min="31" max="38" width="11.5703125" style="152"/>
    <col min="39" max="271" width="11.5703125" style="40"/>
    <col min="272" max="273" width="0" style="40" hidden="1" customWidth="1"/>
    <col min="274" max="274" width="26" style="40" customWidth="1"/>
    <col min="275" max="527" width="11.5703125" style="40"/>
    <col min="528" max="529" width="0" style="40" hidden="1" customWidth="1"/>
    <col min="530" max="530" width="26" style="40" customWidth="1"/>
    <col min="531" max="783" width="11.5703125" style="40"/>
    <col min="784" max="785" width="0" style="40" hidden="1" customWidth="1"/>
    <col min="786" max="786" width="26" style="40" customWidth="1"/>
    <col min="787" max="1039" width="11.5703125" style="40"/>
    <col min="1040" max="1041" width="0" style="40" hidden="1" customWidth="1"/>
    <col min="1042" max="1042" width="26" style="40" customWidth="1"/>
    <col min="1043" max="1295" width="11.5703125" style="40"/>
    <col min="1296" max="1297" width="0" style="40" hidden="1" customWidth="1"/>
    <col min="1298" max="1298" width="26" style="40" customWidth="1"/>
    <col min="1299" max="1551" width="11.5703125" style="40"/>
    <col min="1552" max="1553" width="0" style="40" hidden="1" customWidth="1"/>
    <col min="1554" max="1554" width="26" style="40" customWidth="1"/>
    <col min="1555" max="1807" width="11.5703125" style="40"/>
    <col min="1808" max="1809" width="0" style="40" hidden="1" customWidth="1"/>
    <col min="1810" max="1810" width="26" style="40" customWidth="1"/>
    <col min="1811" max="2063" width="11.5703125" style="40"/>
    <col min="2064" max="2065" width="0" style="40" hidden="1" customWidth="1"/>
    <col min="2066" max="2066" width="26" style="40" customWidth="1"/>
    <col min="2067" max="2319" width="11.5703125" style="40"/>
    <col min="2320" max="2321" width="0" style="40" hidden="1" customWidth="1"/>
    <col min="2322" max="2322" width="26" style="40" customWidth="1"/>
    <col min="2323" max="2575" width="11.5703125" style="40"/>
    <col min="2576" max="2577" width="0" style="40" hidden="1" customWidth="1"/>
    <col min="2578" max="2578" width="26" style="40" customWidth="1"/>
    <col min="2579" max="2831" width="11.5703125" style="40"/>
    <col min="2832" max="2833" width="0" style="40" hidden="1" customWidth="1"/>
    <col min="2834" max="2834" width="26" style="40" customWidth="1"/>
    <col min="2835" max="3087" width="11.5703125" style="40"/>
    <col min="3088" max="3089" width="0" style="40" hidden="1" customWidth="1"/>
    <col min="3090" max="3090" width="26" style="40" customWidth="1"/>
    <col min="3091" max="3343" width="11.5703125" style="40"/>
    <col min="3344" max="3345" width="0" style="40" hidden="1" customWidth="1"/>
    <col min="3346" max="3346" width="26" style="40" customWidth="1"/>
    <col min="3347" max="3599" width="11.5703125" style="40"/>
    <col min="3600" max="3601" width="0" style="40" hidden="1" customWidth="1"/>
    <col min="3602" max="3602" width="26" style="40" customWidth="1"/>
    <col min="3603" max="3855" width="11.5703125" style="40"/>
    <col min="3856" max="3857" width="0" style="40" hidden="1" customWidth="1"/>
    <col min="3858" max="3858" width="26" style="40" customWidth="1"/>
    <col min="3859" max="4111" width="11.5703125" style="40"/>
    <col min="4112" max="4113" width="0" style="40" hidden="1" customWidth="1"/>
    <col min="4114" max="4114" width="26" style="40" customWidth="1"/>
    <col min="4115" max="4367" width="11.5703125" style="40"/>
    <col min="4368" max="4369" width="0" style="40" hidden="1" customWidth="1"/>
    <col min="4370" max="4370" width="26" style="40" customWidth="1"/>
    <col min="4371" max="4623" width="11.5703125" style="40"/>
    <col min="4624" max="4625" width="0" style="40" hidden="1" customWidth="1"/>
    <col min="4626" max="4626" width="26" style="40" customWidth="1"/>
    <col min="4627" max="4879" width="11.5703125" style="40"/>
    <col min="4880" max="4881" width="0" style="40" hidden="1" customWidth="1"/>
    <col min="4882" max="4882" width="26" style="40" customWidth="1"/>
    <col min="4883" max="5135" width="11.5703125" style="40"/>
    <col min="5136" max="5137" width="0" style="40" hidden="1" customWidth="1"/>
    <col min="5138" max="5138" width="26" style="40" customWidth="1"/>
    <col min="5139" max="5391" width="11.5703125" style="40"/>
    <col min="5392" max="5393" width="0" style="40" hidden="1" customWidth="1"/>
    <col min="5394" max="5394" width="26" style="40" customWidth="1"/>
    <col min="5395" max="5647" width="11.5703125" style="40"/>
    <col min="5648" max="5649" width="0" style="40" hidden="1" customWidth="1"/>
    <col min="5650" max="5650" width="26" style="40" customWidth="1"/>
    <col min="5651" max="5903" width="11.5703125" style="40"/>
    <col min="5904" max="5905" width="0" style="40" hidden="1" customWidth="1"/>
    <col min="5906" max="5906" width="26" style="40" customWidth="1"/>
    <col min="5907" max="6159" width="11.5703125" style="40"/>
    <col min="6160" max="6161" width="0" style="40" hidden="1" customWidth="1"/>
    <col min="6162" max="6162" width="26" style="40" customWidth="1"/>
    <col min="6163" max="6415" width="11.5703125" style="40"/>
    <col min="6416" max="6417" width="0" style="40" hidden="1" customWidth="1"/>
    <col min="6418" max="6418" width="26" style="40" customWidth="1"/>
    <col min="6419" max="6671" width="11.5703125" style="40"/>
    <col min="6672" max="6673" width="0" style="40" hidden="1" customWidth="1"/>
    <col min="6674" max="6674" width="26" style="40" customWidth="1"/>
    <col min="6675" max="6927" width="11.5703125" style="40"/>
    <col min="6928" max="6929" width="0" style="40" hidden="1" customWidth="1"/>
    <col min="6930" max="6930" width="26" style="40" customWidth="1"/>
    <col min="6931" max="7183" width="11.5703125" style="40"/>
    <col min="7184" max="7185" width="0" style="40" hidden="1" customWidth="1"/>
    <col min="7186" max="7186" width="26" style="40" customWidth="1"/>
    <col min="7187" max="7439" width="11.5703125" style="40"/>
    <col min="7440" max="7441" width="0" style="40" hidden="1" customWidth="1"/>
    <col min="7442" max="7442" width="26" style="40" customWidth="1"/>
    <col min="7443" max="7695" width="11.5703125" style="40"/>
    <col min="7696" max="7697" width="0" style="40" hidden="1" customWidth="1"/>
    <col min="7698" max="7698" width="26" style="40" customWidth="1"/>
    <col min="7699" max="7951" width="11.5703125" style="40"/>
    <col min="7952" max="7953" width="0" style="40" hidden="1" customWidth="1"/>
    <col min="7954" max="7954" width="26" style="40" customWidth="1"/>
    <col min="7955" max="8207" width="11.5703125" style="40"/>
    <col min="8208" max="8209" width="0" style="40" hidden="1" customWidth="1"/>
    <col min="8210" max="8210" width="26" style="40" customWidth="1"/>
    <col min="8211" max="8463" width="11.5703125" style="40"/>
    <col min="8464" max="8465" width="0" style="40" hidden="1" customWidth="1"/>
    <col min="8466" max="8466" width="26" style="40" customWidth="1"/>
    <col min="8467" max="8719" width="11.5703125" style="40"/>
    <col min="8720" max="8721" width="0" style="40" hidden="1" customWidth="1"/>
    <col min="8722" max="8722" width="26" style="40" customWidth="1"/>
    <col min="8723" max="8975" width="11.5703125" style="40"/>
    <col min="8976" max="8977" width="0" style="40" hidden="1" customWidth="1"/>
    <col min="8978" max="8978" width="26" style="40" customWidth="1"/>
    <col min="8979" max="9231" width="11.5703125" style="40"/>
    <col min="9232" max="9233" width="0" style="40" hidden="1" customWidth="1"/>
    <col min="9234" max="9234" width="26" style="40" customWidth="1"/>
    <col min="9235" max="9487" width="11.5703125" style="40"/>
    <col min="9488" max="9489" width="0" style="40" hidden="1" customWidth="1"/>
    <col min="9490" max="9490" width="26" style="40" customWidth="1"/>
    <col min="9491" max="9743" width="11.5703125" style="40"/>
    <col min="9744" max="9745" width="0" style="40" hidden="1" customWidth="1"/>
    <col min="9746" max="9746" width="26" style="40" customWidth="1"/>
    <col min="9747" max="9999" width="11.5703125" style="40"/>
    <col min="10000" max="10001" width="0" style="40" hidden="1" customWidth="1"/>
    <col min="10002" max="10002" width="26" style="40" customWidth="1"/>
    <col min="10003" max="10255" width="11.5703125" style="40"/>
    <col min="10256" max="10257" width="0" style="40" hidden="1" customWidth="1"/>
    <col min="10258" max="10258" width="26" style="40" customWidth="1"/>
    <col min="10259" max="10511" width="11.5703125" style="40"/>
    <col min="10512" max="10513" width="0" style="40" hidden="1" customWidth="1"/>
    <col min="10514" max="10514" width="26" style="40" customWidth="1"/>
    <col min="10515" max="10767" width="11.5703125" style="40"/>
    <col min="10768" max="10769" width="0" style="40" hidden="1" customWidth="1"/>
    <col min="10770" max="10770" width="26" style="40" customWidth="1"/>
    <col min="10771" max="11023" width="11.5703125" style="40"/>
    <col min="11024" max="11025" width="0" style="40" hidden="1" customWidth="1"/>
    <col min="11026" max="11026" width="26" style="40" customWidth="1"/>
    <col min="11027" max="11279" width="11.5703125" style="40"/>
    <col min="11280" max="11281" width="0" style="40" hidden="1" customWidth="1"/>
    <col min="11282" max="11282" width="26" style="40" customWidth="1"/>
    <col min="11283" max="11535" width="11.5703125" style="40"/>
    <col min="11536" max="11537" width="0" style="40" hidden="1" customWidth="1"/>
    <col min="11538" max="11538" width="26" style="40" customWidth="1"/>
    <col min="11539" max="11791" width="11.5703125" style="40"/>
    <col min="11792" max="11793" width="0" style="40" hidden="1" customWidth="1"/>
    <col min="11794" max="11794" width="26" style="40" customWidth="1"/>
    <col min="11795" max="12047" width="11.5703125" style="40"/>
    <col min="12048" max="12049" width="0" style="40" hidden="1" customWidth="1"/>
    <col min="12050" max="12050" width="26" style="40" customWidth="1"/>
    <col min="12051" max="12303" width="11.5703125" style="40"/>
    <col min="12304" max="12305" width="0" style="40" hidden="1" customWidth="1"/>
    <col min="12306" max="12306" width="26" style="40" customWidth="1"/>
    <col min="12307" max="12559" width="11.5703125" style="40"/>
    <col min="12560" max="12561" width="0" style="40" hidden="1" customWidth="1"/>
    <col min="12562" max="12562" width="26" style="40" customWidth="1"/>
    <col min="12563" max="12815" width="11.5703125" style="40"/>
    <col min="12816" max="12817" width="0" style="40" hidden="1" customWidth="1"/>
    <col min="12818" max="12818" width="26" style="40" customWidth="1"/>
    <col min="12819" max="13071" width="11.5703125" style="40"/>
    <col min="13072" max="13073" width="0" style="40" hidden="1" customWidth="1"/>
    <col min="13074" max="13074" width="26" style="40" customWidth="1"/>
    <col min="13075" max="13327" width="11.5703125" style="40"/>
    <col min="13328" max="13329" width="0" style="40" hidden="1" customWidth="1"/>
    <col min="13330" max="13330" width="26" style="40" customWidth="1"/>
    <col min="13331" max="13583" width="11.5703125" style="40"/>
    <col min="13584" max="13585" width="0" style="40" hidden="1" customWidth="1"/>
    <col min="13586" max="13586" width="26" style="40" customWidth="1"/>
    <col min="13587" max="13839" width="11.5703125" style="40"/>
    <col min="13840" max="13841" width="0" style="40" hidden="1" customWidth="1"/>
    <col min="13842" max="13842" width="26" style="40" customWidth="1"/>
    <col min="13843" max="14095" width="11.5703125" style="40"/>
    <col min="14096" max="14097" width="0" style="40" hidden="1" customWidth="1"/>
    <col min="14098" max="14098" width="26" style="40" customWidth="1"/>
    <col min="14099" max="14351" width="11.5703125" style="40"/>
    <col min="14352" max="14353" width="0" style="40" hidden="1" customWidth="1"/>
    <col min="14354" max="14354" width="26" style="40" customWidth="1"/>
    <col min="14355" max="14607" width="11.5703125" style="40"/>
    <col min="14608" max="14609" width="0" style="40" hidden="1" customWidth="1"/>
    <col min="14610" max="14610" width="26" style="40" customWidth="1"/>
    <col min="14611" max="14863" width="11.5703125" style="40"/>
    <col min="14864" max="14865" width="0" style="40" hidden="1" customWidth="1"/>
    <col min="14866" max="14866" width="26" style="40" customWidth="1"/>
    <col min="14867" max="15119" width="11.5703125" style="40"/>
    <col min="15120" max="15121" width="0" style="40" hidden="1" customWidth="1"/>
    <col min="15122" max="15122" width="26" style="40" customWidth="1"/>
    <col min="15123" max="15375" width="11.5703125" style="40"/>
    <col min="15376" max="15377" width="0" style="40" hidden="1" customWidth="1"/>
    <col min="15378" max="15378" width="26" style="40" customWidth="1"/>
    <col min="15379" max="15631" width="11.5703125" style="40"/>
    <col min="15632" max="15633" width="0" style="40" hidden="1" customWidth="1"/>
    <col min="15634" max="15634" width="26" style="40" customWidth="1"/>
    <col min="15635" max="15887" width="11.5703125" style="40"/>
    <col min="15888" max="15889" width="0" style="40" hidden="1" customWidth="1"/>
    <col min="15890" max="15890" width="26" style="40" customWidth="1"/>
    <col min="15891" max="16143" width="11.5703125" style="40"/>
    <col min="16144" max="16145" width="0" style="40" hidden="1" customWidth="1"/>
    <col min="16146" max="16146" width="26" style="40" customWidth="1"/>
    <col min="16147" max="16384" width="11.5703125" style="40"/>
  </cols>
  <sheetData>
    <row r="2" spans="14:22" x14ac:dyDescent="0.2">
      <c r="N2" s="155"/>
      <c r="O2" s="156">
        <f>'v50'!R58</f>
        <v>0</v>
      </c>
      <c r="P2" s="155"/>
      <c r="Q2" s="171" t="s">
        <v>10</v>
      </c>
      <c r="R2" s="157">
        <f>MinV_KD-100</f>
        <v>-100</v>
      </c>
      <c r="S2" s="155" t="s">
        <v>5</v>
      </c>
    </row>
    <row r="3" spans="14:22" x14ac:dyDescent="0.2">
      <c r="N3" s="155"/>
      <c r="O3" s="156">
        <f>'v50'!R59</f>
        <v>0</v>
      </c>
      <c r="P3" s="258" t="s">
        <v>9</v>
      </c>
      <c r="Q3" s="259"/>
      <c r="R3" s="157">
        <f>MinV_DS+100</f>
        <v>100</v>
      </c>
      <c r="S3" s="155" t="s">
        <v>5</v>
      </c>
    </row>
    <row r="4" spans="14:22" ht="3.75" customHeight="1" x14ac:dyDescent="0.2">
      <c r="N4" s="155"/>
      <c r="O4" s="156"/>
      <c r="P4" s="155"/>
      <c r="Q4" s="155"/>
      <c r="R4" s="155"/>
      <c r="S4" s="155"/>
    </row>
    <row r="5" spans="14:22" ht="13.5" thickBot="1" x14ac:dyDescent="0.25">
      <c r="N5" s="158"/>
      <c r="O5" s="158"/>
      <c r="P5" s="155"/>
      <c r="Q5" s="159"/>
      <c r="R5" s="257"/>
      <c r="S5" s="256"/>
    </row>
    <row r="6" spans="14:22" x14ac:dyDescent="0.2">
      <c r="N6" s="158" t="s">
        <v>8</v>
      </c>
      <c r="O6" s="158" t="s">
        <v>8</v>
      </c>
      <c r="P6" s="158" t="s">
        <v>8</v>
      </c>
      <c r="Q6" s="160"/>
      <c r="R6" s="256"/>
      <c r="S6" s="256"/>
      <c r="U6" s="262" t="s">
        <v>19</v>
      </c>
      <c r="V6" s="263"/>
    </row>
    <row r="7" spans="14:22" x14ac:dyDescent="0.2">
      <c r="N7" s="170">
        <f>'v50'!K24</f>
        <v>0</v>
      </c>
      <c r="O7" s="170">
        <f>'v50'!L24</f>
        <v>5</v>
      </c>
      <c r="P7" s="161">
        <f>AVERAGE(N7:O7)</f>
        <v>2.5</v>
      </c>
      <c r="Q7" s="162">
        <f>'v50'!O24</f>
        <v>0</v>
      </c>
      <c r="R7" s="255" t="e">
        <f>0.5*(1+ERF((P7-$O$2)/SQRT(2*$O$3*$O$3)))</f>
        <v>#DIV/0!</v>
      </c>
      <c r="S7" s="256"/>
      <c r="U7" s="165">
        <f>O2</f>
        <v>0</v>
      </c>
      <c r="V7" s="166">
        <v>0</v>
      </c>
    </row>
    <row r="8" spans="14:22" x14ac:dyDescent="0.2">
      <c r="N8" s="170">
        <f>'v50'!K25</f>
        <v>5</v>
      </c>
      <c r="O8" s="170">
        <f>'v50'!L25</f>
        <v>10</v>
      </c>
      <c r="P8" s="161">
        <f t="shared" ref="P8:P36" si="0">AVERAGE(N8:O8)</f>
        <v>7.5</v>
      </c>
      <c r="Q8" s="162">
        <f>'v50'!O25</f>
        <v>0</v>
      </c>
      <c r="R8" s="255" t="e">
        <f t="shared" ref="R8:R31" si="1">0.5*(1+ERF((P8-$O$2)/SQRT(2*$O$3*$O$3)))</f>
        <v>#DIV/0!</v>
      </c>
      <c r="S8" s="256"/>
      <c r="U8" s="165">
        <f>O2</f>
        <v>0</v>
      </c>
      <c r="V8" s="166">
        <v>0.5</v>
      </c>
    </row>
    <row r="9" spans="14:22" x14ac:dyDescent="0.2">
      <c r="N9" s="170">
        <f>'v50'!K26</f>
        <v>10</v>
      </c>
      <c r="O9" s="170">
        <f>'v50'!L26</f>
        <v>15</v>
      </c>
      <c r="P9" s="161">
        <f t="shared" si="0"/>
        <v>12.5</v>
      </c>
      <c r="Q9" s="162">
        <f>'v50'!O26</f>
        <v>0</v>
      </c>
      <c r="R9" s="255" t="e">
        <f t="shared" si="1"/>
        <v>#DIV/0!</v>
      </c>
      <c r="S9" s="256"/>
      <c r="U9" s="167">
        <v>0</v>
      </c>
      <c r="V9" s="166">
        <v>0.5</v>
      </c>
    </row>
    <row r="10" spans="14:22" ht="13.5" thickBot="1" x14ac:dyDescent="0.25">
      <c r="N10" s="170">
        <f>'v50'!K27</f>
        <v>15</v>
      </c>
      <c r="O10" s="170">
        <f>'v50'!L27</f>
        <v>20</v>
      </c>
      <c r="P10" s="161">
        <f t="shared" si="0"/>
        <v>17.5</v>
      </c>
      <c r="Q10" s="162">
        <f>'v50'!O27</f>
        <v>0</v>
      </c>
      <c r="R10" s="255" t="e">
        <f t="shared" si="1"/>
        <v>#DIV/0!</v>
      </c>
      <c r="S10" s="256"/>
      <c r="U10" s="168">
        <f>O2</f>
        <v>0</v>
      </c>
      <c r="V10" s="169">
        <v>0.5</v>
      </c>
    </row>
    <row r="11" spans="14:22" x14ac:dyDescent="0.2">
      <c r="N11" s="170">
        <f>'v50'!K28</f>
        <v>20</v>
      </c>
      <c r="O11" s="170">
        <f>'v50'!L28</f>
        <v>25</v>
      </c>
      <c r="P11" s="161">
        <f t="shared" si="0"/>
        <v>22.5</v>
      </c>
      <c r="Q11" s="162">
        <f>'v50'!O28</f>
        <v>0</v>
      </c>
      <c r="R11" s="255" t="e">
        <f t="shared" si="1"/>
        <v>#DIV/0!</v>
      </c>
      <c r="S11" s="256"/>
    </row>
    <row r="12" spans="14:22" x14ac:dyDescent="0.2">
      <c r="N12" s="170">
        <f>'v50'!K29</f>
        <v>25</v>
      </c>
      <c r="O12" s="170">
        <f>'v50'!L29</f>
        <v>30</v>
      </c>
      <c r="P12" s="161">
        <f t="shared" si="0"/>
        <v>27.5</v>
      </c>
      <c r="Q12" s="162">
        <f>'v50'!O29</f>
        <v>0</v>
      </c>
      <c r="R12" s="255" t="e">
        <f t="shared" si="1"/>
        <v>#DIV/0!</v>
      </c>
      <c r="S12" s="256"/>
    </row>
    <row r="13" spans="14:22" x14ac:dyDescent="0.2">
      <c r="N13" s="170">
        <f>'v50'!K30</f>
        <v>30</v>
      </c>
      <c r="O13" s="170">
        <f>'v50'!L30</f>
        <v>35</v>
      </c>
      <c r="P13" s="161">
        <f t="shared" si="0"/>
        <v>32.5</v>
      </c>
      <c r="Q13" s="162">
        <f>'v50'!O30</f>
        <v>0</v>
      </c>
      <c r="R13" s="255" t="e">
        <f t="shared" si="1"/>
        <v>#DIV/0!</v>
      </c>
      <c r="S13" s="256"/>
    </row>
    <row r="14" spans="14:22" x14ac:dyDescent="0.2">
      <c r="N14" s="170">
        <f>'v50'!K31</f>
        <v>35</v>
      </c>
      <c r="O14" s="170">
        <f>'v50'!L31</f>
        <v>40</v>
      </c>
      <c r="P14" s="161">
        <f t="shared" si="0"/>
        <v>37.5</v>
      </c>
      <c r="Q14" s="162">
        <f>'v50'!O31</f>
        <v>0</v>
      </c>
      <c r="R14" s="255" t="e">
        <f t="shared" si="1"/>
        <v>#DIV/0!</v>
      </c>
      <c r="S14" s="256"/>
    </row>
    <row r="15" spans="14:22" x14ac:dyDescent="0.2">
      <c r="N15" s="170">
        <f>'v50'!K32</f>
        <v>40</v>
      </c>
      <c r="O15" s="170">
        <f>'v50'!L32</f>
        <v>45</v>
      </c>
      <c r="P15" s="161">
        <f t="shared" si="0"/>
        <v>42.5</v>
      </c>
      <c r="Q15" s="162">
        <f>'v50'!O32</f>
        <v>0</v>
      </c>
      <c r="R15" s="255" t="e">
        <f t="shared" si="1"/>
        <v>#DIV/0!</v>
      </c>
      <c r="S15" s="256"/>
    </row>
    <row r="16" spans="14:22" x14ac:dyDescent="0.2">
      <c r="N16" s="170">
        <f>'v50'!K33</f>
        <v>45</v>
      </c>
      <c r="O16" s="170">
        <f>'v50'!L33</f>
        <v>50</v>
      </c>
      <c r="P16" s="161">
        <f t="shared" si="0"/>
        <v>47.5</v>
      </c>
      <c r="Q16" s="162">
        <f>'v50'!O33</f>
        <v>0</v>
      </c>
      <c r="R16" s="255" t="e">
        <f t="shared" si="1"/>
        <v>#DIV/0!</v>
      </c>
      <c r="S16" s="256"/>
    </row>
    <row r="17" spans="14:19" x14ac:dyDescent="0.2">
      <c r="N17" s="170">
        <f>'v50'!K34</f>
        <v>50</v>
      </c>
      <c r="O17" s="170">
        <f>'v50'!L34</f>
        <v>55</v>
      </c>
      <c r="P17" s="161">
        <f t="shared" si="0"/>
        <v>52.5</v>
      </c>
      <c r="Q17" s="162">
        <f>'v50'!O34</f>
        <v>0</v>
      </c>
      <c r="R17" s="255" t="e">
        <f t="shared" si="1"/>
        <v>#DIV/0!</v>
      </c>
      <c r="S17" s="256"/>
    </row>
    <row r="18" spans="14:19" x14ac:dyDescent="0.2">
      <c r="N18" s="170">
        <f>'v50'!K35</f>
        <v>55</v>
      </c>
      <c r="O18" s="170">
        <f>'v50'!L35</f>
        <v>60</v>
      </c>
      <c r="P18" s="161">
        <f t="shared" si="0"/>
        <v>57.5</v>
      </c>
      <c r="Q18" s="162">
        <f>'v50'!O35</f>
        <v>0</v>
      </c>
      <c r="R18" s="255" t="e">
        <f t="shared" si="1"/>
        <v>#DIV/0!</v>
      </c>
      <c r="S18" s="256"/>
    </row>
    <row r="19" spans="14:19" x14ac:dyDescent="0.2">
      <c r="N19" s="170">
        <f>'v50'!K36</f>
        <v>60</v>
      </c>
      <c r="O19" s="170">
        <f>'v50'!L36</f>
        <v>65</v>
      </c>
      <c r="P19" s="161">
        <f t="shared" si="0"/>
        <v>62.5</v>
      </c>
      <c r="Q19" s="162">
        <f>'v50'!O36</f>
        <v>0</v>
      </c>
      <c r="R19" s="255" t="e">
        <f t="shared" si="1"/>
        <v>#DIV/0!</v>
      </c>
      <c r="S19" s="256"/>
    </row>
    <row r="20" spans="14:19" x14ac:dyDescent="0.2">
      <c r="N20" s="170">
        <f>'v50'!K37</f>
        <v>65</v>
      </c>
      <c r="O20" s="170">
        <f>'v50'!L37</f>
        <v>70</v>
      </c>
      <c r="P20" s="161">
        <f t="shared" si="0"/>
        <v>67.5</v>
      </c>
      <c r="Q20" s="162">
        <f>'v50'!O37</f>
        <v>0</v>
      </c>
      <c r="R20" s="255" t="e">
        <f t="shared" si="1"/>
        <v>#DIV/0!</v>
      </c>
      <c r="S20" s="256"/>
    </row>
    <row r="21" spans="14:19" x14ac:dyDescent="0.2">
      <c r="N21" s="170">
        <f>'v50'!K38</f>
        <v>70</v>
      </c>
      <c r="O21" s="170">
        <f>'v50'!L38</f>
        <v>75</v>
      </c>
      <c r="P21" s="161">
        <f t="shared" si="0"/>
        <v>72.5</v>
      </c>
      <c r="Q21" s="162">
        <f>'v50'!O38</f>
        <v>0</v>
      </c>
      <c r="R21" s="255" t="e">
        <f t="shared" si="1"/>
        <v>#DIV/0!</v>
      </c>
      <c r="S21" s="256"/>
    </row>
    <row r="22" spans="14:19" x14ac:dyDescent="0.2">
      <c r="N22" s="170">
        <f>'v50'!K39</f>
        <v>75</v>
      </c>
      <c r="O22" s="170">
        <f>'v50'!L39</f>
        <v>80</v>
      </c>
      <c r="P22" s="161">
        <f t="shared" si="0"/>
        <v>77.5</v>
      </c>
      <c r="Q22" s="162">
        <f>'v50'!O39</f>
        <v>0</v>
      </c>
      <c r="R22" s="255" t="e">
        <f t="shared" si="1"/>
        <v>#DIV/0!</v>
      </c>
      <c r="S22" s="256"/>
    </row>
    <row r="23" spans="14:19" x14ac:dyDescent="0.2">
      <c r="N23" s="170">
        <f>'v50'!K40</f>
        <v>80</v>
      </c>
      <c r="O23" s="170">
        <f>'v50'!L40</f>
        <v>85</v>
      </c>
      <c r="P23" s="161">
        <f t="shared" si="0"/>
        <v>82.5</v>
      </c>
      <c r="Q23" s="162">
        <f>'v50'!O40</f>
        <v>0</v>
      </c>
      <c r="R23" s="255" t="e">
        <f t="shared" si="1"/>
        <v>#DIV/0!</v>
      </c>
      <c r="S23" s="256"/>
    </row>
    <row r="24" spans="14:19" x14ac:dyDescent="0.2">
      <c r="N24" s="170">
        <f>'v50'!K41</f>
        <v>85</v>
      </c>
      <c r="O24" s="170">
        <f>'v50'!L41</f>
        <v>90</v>
      </c>
      <c r="P24" s="161">
        <f t="shared" si="0"/>
        <v>87.5</v>
      </c>
      <c r="Q24" s="162">
        <f>'v50'!O41</f>
        <v>0</v>
      </c>
      <c r="R24" s="255" t="e">
        <f t="shared" si="1"/>
        <v>#DIV/0!</v>
      </c>
      <c r="S24" s="256"/>
    </row>
    <row r="25" spans="14:19" x14ac:dyDescent="0.2">
      <c r="N25" s="170">
        <f>'v50'!K42</f>
        <v>90</v>
      </c>
      <c r="O25" s="170">
        <f>'v50'!L42</f>
        <v>95</v>
      </c>
      <c r="P25" s="161">
        <f t="shared" si="0"/>
        <v>92.5</v>
      </c>
      <c r="Q25" s="162">
        <f>'v50'!O42</f>
        <v>0</v>
      </c>
      <c r="R25" s="255" t="e">
        <f t="shared" si="1"/>
        <v>#DIV/0!</v>
      </c>
      <c r="S25" s="256"/>
    </row>
    <row r="26" spans="14:19" x14ac:dyDescent="0.2">
      <c r="N26" s="170">
        <f>'v50'!K43</f>
        <v>95</v>
      </c>
      <c r="O26" s="170">
        <f>'v50'!L43</f>
        <v>100</v>
      </c>
      <c r="P26" s="161">
        <f t="shared" si="0"/>
        <v>97.5</v>
      </c>
      <c r="Q26" s="162">
        <f>'v50'!O43</f>
        <v>0</v>
      </c>
      <c r="R26" s="255" t="e">
        <f t="shared" si="1"/>
        <v>#DIV/0!</v>
      </c>
      <c r="S26" s="256"/>
    </row>
    <row r="27" spans="14:19" x14ac:dyDescent="0.2">
      <c r="N27" s="170">
        <f>'v50'!K44</f>
        <v>100</v>
      </c>
      <c r="O27" s="170">
        <f>'v50'!L44</f>
        <v>105</v>
      </c>
      <c r="P27" s="161">
        <f t="shared" si="0"/>
        <v>102.5</v>
      </c>
      <c r="Q27" s="162">
        <f>'v50'!O44</f>
        <v>0</v>
      </c>
      <c r="R27" s="255" t="e">
        <f t="shared" si="1"/>
        <v>#DIV/0!</v>
      </c>
      <c r="S27" s="256"/>
    </row>
    <row r="28" spans="14:19" x14ac:dyDescent="0.2">
      <c r="N28" s="170">
        <f>'v50'!K45</f>
        <v>105</v>
      </c>
      <c r="O28" s="170">
        <f>'v50'!L45</f>
        <v>110</v>
      </c>
      <c r="P28" s="161">
        <f t="shared" si="0"/>
        <v>107.5</v>
      </c>
      <c r="Q28" s="162">
        <f>'v50'!O45</f>
        <v>0</v>
      </c>
      <c r="R28" s="255" t="e">
        <f t="shared" si="1"/>
        <v>#DIV/0!</v>
      </c>
      <c r="S28" s="256"/>
    </row>
    <row r="29" spans="14:19" x14ac:dyDescent="0.2">
      <c r="N29" s="170">
        <f>'v50'!K46</f>
        <v>110</v>
      </c>
      <c r="O29" s="170">
        <f>'v50'!L46</f>
        <v>115</v>
      </c>
      <c r="P29" s="161">
        <f t="shared" si="0"/>
        <v>112.5</v>
      </c>
      <c r="Q29" s="162">
        <f>'v50'!O46</f>
        <v>0</v>
      </c>
      <c r="R29" s="255" t="e">
        <f t="shared" si="1"/>
        <v>#DIV/0!</v>
      </c>
      <c r="S29" s="256"/>
    </row>
    <row r="30" spans="14:19" x14ac:dyDescent="0.2">
      <c r="N30" s="170">
        <f>'v50'!K47</f>
        <v>115</v>
      </c>
      <c r="O30" s="170">
        <f>'v50'!L47</f>
        <v>120</v>
      </c>
      <c r="P30" s="161">
        <f t="shared" si="0"/>
        <v>117.5</v>
      </c>
      <c r="Q30" s="162">
        <f>'v50'!O47</f>
        <v>0</v>
      </c>
      <c r="R30" s="255" t="e">
        <f t="shared" si="1"/>
        <v>#DIV/0!</v>
      </c>
      <c r="S30" s="256"/>
    </row>
    <row r="31" spans="14:19" x14ac:dyDescent="0.2">
      <c r="N31" s="170">
        <f>'v50'!K48</f>
        <v>120</v>
      </c>
      <c r="O31" s="170">
        <f>'v50'!L48</f>
        <v>125</v>
      </c>
      <c r="P31" s="161">
        <f t="shared" si="0"/>
        <v>122.5</v>
      </c>
      <c r="Q31" s="162">
        <f>'v50'!O48</f>
        <v>0</v>
      </c>
      <c r="R31" s="255" t="e">
        <f t="shared" si="1"/>
        <v>#DIV/0!</v>
      </c>
      <c r="S31" s="256"/>
    </row>
    <row r="32" spans="14:19" x14ac:dyDescent="0.2">
      <c r="N32" s="170">
        <f>'v50'!K49</f>
        <v>125</v>
      </c>
      <c r="O32" s="170">
        <f>'v50'!L49</f>
        <v>130</v>
      </c>
      <c r="P32" s="161">
        <f t="shared" si="0"/>
        <v>127.5</v>
      </c>
      <c r="Q32" s="162">
        <f>'v50'!O49</f>
        <v>0</v>
      </c>
      <c r="R32" s="255" t="e">
        <f t="shared" ref="R32:R96" si="2">0.5*(1+ERF((P32-$O$2)/SQRT(2*$O$3*$O$3)))</f>
        <v>#DIV/0!</v>
      </c>
      <c r="S32" s="256"/>
    </row>
    <row r="33" spans="1:19" x14ac:dyDescent="0.2">
      <c r="N33" s="170">
        <f>'v50'!K50</f>
        <v>130</v>
      </c>
      <c r="O33" s="170">
        <f>'v50'!L50</f>
        <v>135</v>
      </c>
      <c r="P33" s="161">
        <f t="shared" si="0"/>
        <v>132.5</v>
      </c>
      <c r="Q33" s="162">
        <f>'v50'!O50</f>
        <v>0</v>
      </c>
      <c r="R33" s="255" t="e">
        <f t="shared" si="2"/>
        <v>#DIV/0!</v>
      </c>
      <c r="S33" s="256"/>
    </row>
    <row r="34" spans="1:19" x14ac:dyDescent="0.2">
      <c r="N34" s="170">
        <f>'v50'!K51</f>
        <v>135</v>
      </c>
      <c r="O34" s="170">
        <f>'v50'!L51</f>
        <v>140</v>
      </c>
      <c r="P34" s="161">
        <f t="shared" si="0"/>
        <v>137.5</v>
      </c>
      <c r="Q34" s="162">
        <f>'v50'!O51</f>
        <v>0</v>
      </c>
      <c r="R34" s="255" t="e">
        <f t="shared" si="2"/>
        <v>#DIV/0!</v>
      </c>
      <c r="S34" s="256"/>
    </row>
    <row r="35" spans="1:19" x14ac:dyDescent="0.2">
      <c r="N35" s="170">
        <f>'v50'!K52</f>
        <v>140</v>
      </c>
      <c r="O35" s="170">
        <f>'v50'!L52</f>
        <v>145</v>
      </c>
      <c r="P35" s="161">
        <f t="shared" si="0"/>
        <v>142.5</v>
      </c>
      <c r="Q35" s="162">
        <f>'v50'!O52</f>
        <v>0</v>
      </c>
      <c r="R35" s="255" t="e">
        <f t="shared" si="2"/>
        <v>#DIV/0!</v>
      </c>
      <c r="S35" s="256"/>
    </row>
    <row r="36" spans="1:19" x14ac:dyDescent="0.2">
      <c r="B36" s="41"/>
      <c r="J36" s="41"/>
      <c r="N36" s="170">
        <f>'v50'!K53</f>
        <v>145</v>
      </c>
      <c r="O36" s="170">
        <f>'v50'!L53</f>
        <v>150</v>
      </c>
      <c r="P36" s="161">
        <f t="shared" si="0"/>
        <v>147.5</v>
      </c>
      <c r="Q36" s="162">
        <f>'v50'!O53</f>
        <v>0</v>
      </c>
      <c r="R36" s="255" t="e">
        <f t="shared" si="2"/>
        <v>#DIV/0!</v>
      </c>
      <c r="S36" s="256"/>
    </row>
    <row r="37" spans="1:19" ht="12.75" customHeight="1" x14ac:dyDescent="0.2">
      <c r="N37" s="260"/>
      <c r="O37" s="261"/>
      <c r="P37" s="261"/>
      <c r="Q37" s="261"/>
      <c r="R37" s="261"/>
      <c r="S37" s="261"/>
    </row>
    <row r="38" spans="1:19" ht="12.75" customHeight="1" x14ac:dyDescent="0.2">
      <c r="N38" s="163"/>
      <c r="O38" s="163"/>
      <c r="P38" s="161">
        <f>R2</f>
        <v>-100</v>
      </c>
      <c r="Q38" s="163"/>
      <c r="R38" s="255" t="e">
        <f>0.5*(1+ERF((P38-$O$2)/SQRT(2*$O$3*$O$3)))</f>
        <v>#DIV/0!</v>
      </c>
      <c r="S38" s="256"/>
    </row>
    <row r="39" spans="1:19" ht="12.75" customHeight="1" x14ac:dyDescent="0.2">
      <c r="N39" s="163"/>
      <c r="O39" s="163"/>
      <c r="P39" s="161">
        <f t="shared" ref="P39:P70" si="3">P38+(obere_Klassengrenze-untere_Klassengrenze)/100</f>
        <v>-98.5</v>
      </c>
      <c r="Q39" s="163"/>
      <c r="R39" s="255" t="e">
        <f t="shared" si="2"/>
        <v>#DIV/0!</v>
      </c>
      <c r="S39" s="256"/>
    </row>
    <row r="40" spans="1:19" ht="12.75" customHeight="1" x14ac:dyDescent="0.2">
      <c r="N40" s="163"/>
      <c r="O40" s="163"/>
      <c r="P40" s="161">
        <f t="shared" si="3"/>
        <v>-97</v>
      </c>
      <c r="Q40" s="163"/>
      <c r="R40" s="255" t="e">
        <f t="shared" si="2"/>
        <v>#DIV/0!</v>
      </c>
      <c r="S40" s="256"/>
    </row>
    <row r="41" spans="1:19" ht="12.75" customHeight="1" x14ac:dyDescent="0.2">
      <c r="N41" s="163"/>
      <c r="O41" s="163"/>
      <c r="P41" s="161">
        <f t="shared" si="3"/>
        <v>-95.5</v>
      </c>
      <c r="Q41" s="163"/>
      <c r="R41" s="255" t="e">
        <f t="shared" si="2"/>
        <v>#DIV/0!</v>
      </c>
      <c r="S41" s="256"/>
    </row>
    <row r="42" spans="1:19" x14ac:dyDescent="0.2">
      <c r="N42" s="163"/>
      <c r="O42" s="163"/>
      <c r="P42" s="161">
        <f t="shared" si="3"/>
        <v>-94</v>
      </c>
      <c r="Q42" s="163"/>
      <c r="R42" s="255" t="e">
        <f t="shared" si="2"/>
        <v>#DIV/0!</v>
      </c>
      <c r="S42" s="256"/>
    </row>
    <row r="43" spans="1:19" x14ac:dyDescent="0.2">
      <c r="A43" s="43"/>
      <c r="B43" s="43" t="s">
        <v>25</v>
      </c>
      <c r="N43" s="163"/>
      <c r="O43" s="163"/>
      <c r="P43" s="161">
        <f t="shared" si="3"/>
        <v>-92.5</v>
      </c>
      <c r="Q43" s="163"/>
      <c r="R43" s="255" t="e">
        <f t="shared" si="2"/>
        <v>#DIV/0!</v>
      </c>
      <c r="S43" s="256"/>
    </row>
    <row r="44" spans="1:19" x14ac:dyDescent="0.2">
      <c r="N44" s="163"/>
      <c r="O44" s="163"/>
      <c r="P44" s="161">
        <f t="shared" si="3"/>
        <v>-91</v>
      </c>
      <c r="Q44" s="163"/>
      <c r="R44" s="255" t="e">
        <f t="shared" si="2"/>
        <v>#DIV/0!</v>
      </c>
      <c r="S44" s="256"/>
    </row>
    <row r="45" spans="1:19" x14ac:dyDescent="0.2">
      <c r="N45" s="163"/>
      <c r="O45" s="163"/>
      <c r="P45" s="161">
        <f t="shared" si="3"/>
        <v>-89.5</v>
      </c>
      <c r="Q45" s="163"/>
      <c r="R45" s="255" t="e">
        <f t="shared" si="2"/>
        <v>#DIV/0!</v>
      </c>
      <c r="S45" s="256"/>
    </row>
    <row r="46" spans="1:19" x14ac:dyDescent="0.2">
      <c r="N46" s="163"/>
      <c r="O46" s="163"/>
      <c r="P46" s="161">
        <f t="shared" si="3"/>
        <v>-88</v>
      </c>
      <c r="Q46" s="163"/>
      <c r="R46" s="255" t="e">
        <f t="shared" si="2"/>
        <v>#DIV/0!</v>
      </c>
      <c r="S46" s="256"/>
    </row>
    <row r="47" spans="1:19" x14ac:dyDescent="0.2">
      <c r="N47" s="163"/>
      <c r="O47" s="163"/>
      <c r="P47" s="161">
        <f t="shared" si="3"/>
        <v>-86.5</v>
      </c>
      <c r="Q47" s="163"/>
      <c r="R47" s="255" t="e">
        <f t="shared" si="2"/>
        <v>#DIV/0!</v>
      </c>
      <c r="S47" s="256"/>
    </row>
    <row r="48" spans="1:19" x14ac:dyDescent="0.2">
      <c r="N48" s="163"/>
      <c r="O48" s="163"/>
      <c r="P48" s="161">
        <f t="shared" si="3"/>
        <v>-85</v>
      </c>
      <c r="Q48" s="163"/>
      <c r="R48" s="255" t="e">
        <f t="shared" si="2"/>
        <v>#DIV/0!</v>
      </c>
      <c r="S48" s="256"/>
    </row>
    <row r="49" spans="14:19" x14ac:dyDescent="0.2">
      <c r="N49" s="163"/>
      <c r="O49" s="163"/>
      <c r="P49" s="161">
        <f t="shared" si="3"/>
        <v>-83.5</v>
      </c>
      <c r="Q49" s="163"/>
      <c r="R49" s="255" t="e">
        <f t="shared" si="2"/>
        <v>#DIV/0!</v>
      </c>
      <c r="S49" s="256"/>
    </row>
    <row r="50" spans="14:19" ht="12.75" customHeight="1" x14ac:dyDescent="0.2">
      <c r="N50" s="163"/>
      <c r="O50" s="163"/>
      <c r="P50" s="161">
        <f t="shared" si="3"/>
        <v>-82</v>
      </c>
      <c r="Q50" s="163"/>
      <c r="R50" s="255" t="e">
        <f t="shared" si="2"/>
        <v>#DIV/0!</v>
      </c>
      <c r="S50" s="256"/>
    </row>
    <row r="51" spans="14:19" ht="12.75" customHeight="1" x14ac:dyDescent="0.2">
      <c r="N51" s="163"/>
      <c r="O51" s="163"/>
      <c r="P51" s="161">
        <f t="shared" si="3"/>
        <v>-80.5</v>
      </c>
      <c r="Q51" s="163"/>
      <c r="R51" s="255" t="e">
        <f t="shared" si="2"/>
        <v>#DIV/0!</v>
      </c>
      <c r="S51" s="256"/>
    </row>
    <row r="52" spans="14:19" ht="12.75" customHeight="1" x14ac:dyDescent="0.2">
      <c r="N52" s="163"/>
      <c r="O52" s="163"/>
      <c r="P52" s="161">
        <f t="shared" si="3"/>
        <v>-79</v>
      </c>
      <c r="Q52" s="163"/>
      <c r="R52" s="255" t="e">
        <f t="shared" si="2"/>
        <v>#DIV/0!</v>
      </c>
      <c r="S52" s="256"/>
    </row>
    <row r="53" spans="14:19" ht="12.75" customHeight="1" x14ac:dyDescent="0.2">
      <c r="N53" s="163"/>
      <c r="O53" s="163"/>
      <c r="P53" s="161">
        <f t="shared" si="3"/>
        <v>-77.5</v>
      </c>
      <c r="Q53" s="163"/>
      <c r="R53" s="255" t="e">
        <f t="shared" si="2"/>
        <v>#DIV/0!</v>
      </c>
      <c r="S53" s="256"/>
    </row>
    <row r="54" spans="14:19" ht="12.75" customHeight="1" x14ac:dyDescent="0.2">
      <c r="N54" s="163"/>
      <c r="O54" s="163"/>
      <c r="P54" s="161">
        <f t="shared" si="3"/>
        <v>-76</v>
      </c>
      <c r="Q54" s="163"/>
      <c r="R54" s="255" t="e">
        <f t="shared" si="2"/>
        <v>#DIV/0!</v>
      </c>
      <c r="S54" s="256"/>
    </row>
    <row r="55" spans="14:19" ht="12.75" customHeight="1" x14ac:dyDescent="0.2">
      <c r="N55" s="163"/>
      <c r="O55" s="163"/>
      <c r="P55" s="161">
        <f t="shared" si="3"/>
        <v>-74.5</v>
      </c>
      <c r="Q55" s="163"/>
      <c r="R55" s="255" t="e">
        <f t="shared" si="2"/>
        <v>#DIV/0!</v>
      </c>
      <c r="S55" s="256"/>
    </row>
    <row r="56" spans="14:19" ht="12.75" customHeight="1" x14ac:dyDescent="0.2">
      <c r="N56" s="163"/>
      <c r="O56" s="163"/>
      <c r="P56" s="161">
        <f t="shared" si="3"/>
        <v>-73</v>
      </c>
      <c r="Q56" s="163"/>
      <c r="R56" s="255" t="e">
        <f t="shared" si="2"/>
        <v>#DIV/0!</v>
      </c>
      <c r="S56" s="256"/>
    </row>
    <row r="57" spans="14:19" ht="12.75" customHeight="1" x14ac:dyDescent="0.2">
      <c r="N57" s="164"/>
      <c r="O57" s="164"/>
      <c r="P57" s="161">
        <f t="shared" si="3"/>
        <v>-71.5</v>
      </c>
      <c r="Q57" s="164"/>
      <c r="R57" s="255" t="e">
        <f t="shared" si="2"/>
        <v>#DIV/0!</v>
      </c>
      <c r="S57" s="256"/>
    </row>
    <row r="58" spans="14:19" ht="12.75" customHeight="1" x14ac:dyDescent="0.2">
      <c r="N58" s="164"/>
      <c r="O58" s="164"/>
      <c r="P58" s="161">
        <f t="shared" si="3"/>
        <v>-70</v>
      </c>
      <c r="Q58" s="164"/>
      <c r="R58" s="255" t="e">
        <f t="shared" si="2"/>
        <v>#DIV/0!</v>
      </c>
      <c r="S58" s="256"/>
    </row>
    <row r="59" spans="14:19" x14ac:dyDescent="0.2">
      <c r="N59" s="164"/>
      <c r="O59" s="164"/>
      <c r="P59" s="161">
        <f t="shared" si="3"/>
        <v>-68.5</v>
      </c>
      <c r="Q59" s="164"/>
      <c r="R59" s="255" t="e">
        <f t="shared" si="2"/>
        <v>#DIV/0!</v>
      </c>
      <c r="S59" s="256"/>
    </row>
    <row r="60" spans="14:19" x14ac:dyDescent="0.2">
      <c r="N60" s="164"/>
      <c r="O60" s="164"/>
      <c r="P60" s="161">
        <f t="shared" si="3"/>
        <v>-67</v>
      </c>
      <c r="Q60" s="164"/>
      <c r="R60" s="255" t="e">
        <f t="shared" si="2"/>
        <v>#DIV/0!</v>
      </c>
      <c r="S60" s="256"/>
    </row>
    <row r="61" spans="14:19" x14ac:dyDescent="0.2">
      <c r="N61" s="164"/>
      <c r="O61" s="164"/>
      <c r="P61" s="161">
        <f t="shared" si="3"/>
        <v>-65.5</v>
      </c>
      <c r="Q61" s="164"/>
      <c r="R61" s="255" t="e">
        <f t="shared" si="2"/>
        <v>#DIV/0!</v>
      </c>
      <c r="S61" s="256"/>
    </row>
    <row r="62" spans="14:19" x14ac:dyDescent="0.2">
      <c r="N62" s="164"/>
      <c r="O62" s="164"/>
      <c r="P62" s="161">
        <f t="shared" si="3"/>
        <v>-64</v>
      </c>
      <c r="Q62" s="164"/>
      <c r="R62" s="255" t="e">
        <f t="shared" si="2"/>
        <v>#DIV/0!</v>
      </c>
      <c r="S62" s="256"/>
    </row>
    <row r="63" spans="14:19" x14ac:dyDescent="0.2">
      <c r="N63" s="164"/>
      <c r="O63" s="164"/>
      <c r="P63" s="161">
        <f t="shared" si="3"/>
        <v>-62.5</v>
      </c>
      <c r="Q63" s="164"/>
      <c r="R63" s="255" t="e">
        <f t="shared" si="2"/>
        <v>#DIV/0!</v>
      </c>
      <c r="S63" s="256"/>
    </row>
    <row r="64" spans="14:19" x14ac:dyDescent="0.2">
      <c r="N64" s="164"/>
      <c r="O64" s="164"/>
      <c r="P64" s="161">
        <f t="shared" si="3"/>
        <v>-61</v>
      </c>
      <c r="Q64" s="164"/>
      <c r="R64" s="255" t="e">
        <f t="shared" si="2"/>
        <v>#DIV/0!</v>
      </c>
      <c r="S64" s="256"/>
    </row>
    <row r="65" spans="14:19" x14ac:dyDescent="0.2">
      <c r="N65" s="164"/>
      <c r="O65" s="164"/>
      <c r="P65" s="161">
        <f t="shared" si="3"/>
        <v>-59.5</v>
      </c>
      <c r="Q65" s="164"/>
      <c r="R65" s="255" t="e">
        <f t="shared" si="2"/>
        <v>#DIV/0!</v>
      </c>
      <c r="S65" s="256"/>
    </row>
    <row r="66" spans="14:19" x14ac:dyDescent="0.2">
      <c r="N66" s="164"/>
      <c r="O66" s="164"/>
      <c r="P66" s="161">
        <f t="shared" si="3"/>
        <v>-58</v>
      </c>
      <c r="Q66" s="164"/>
      <c r="R66" s="255" t="e">
        <f t="shared" si="2"/>
        <v>#DIV/0!</v>
      </c>
      <c r="S66" s="256"/>
    </row>
    <row r="67" spans="14:19" x14ac:dyDescent="0.2">
      <c r="N67" s="164"/>
      <c r="O67" s="164"/>
      <c r="P67" s="161">
        <f t="shared" si="3"/>
        <v>-56.5</v>
      </c>
      <c r="Q67" s="164"/>
      <c r="R67" s="255" t="e">
        <f t="shared" si="2"/>
        <v>#DIV/0!</v>
      </c>
      <c r="S67" s="256"/>
    </row>
    <row r="68" spans="14:19" x14ac:dyDescent="0.2">
      <c r="N68" s="164"/>
      <c r="O68" s="164"/>
      <c r="P68" s="161">
        <f t="shared" si="3"/>
        <v>-55</v>
      </c>
      <c r="Q68" s="164"/>
      <c r="R68" s="255" t="e">
        <f t="shared" si="2"/>
        <v>#DIV/0!</v>
      </c>
      <c r="S68" s="256"/>
    </row>
    <row r="69" spans="14:19" x14ac:dyDescent="0.2">
      <c r="N69" s="164"/>
      <c r="O69" s="164"/>
      <c r="P69" s="161">
        <f t="shared" si="3"/>
        <v>-53.5</v>
      </c>
      <c r="Q69" s="164"/>
      <c r="R69" s="255" t="e">
        <f t="shared" si="2"/>
        <v>#DIV/0!</v>
      </c>
      <c r="S69" s="256"/>
    </row>
    <row r="70" spans="14:19" x14ac:dyDescent="0.2">
      <c r="N70" s="164"/>
      <c r="O70" s="164"/>
      <c r="P70" s="161">
        <f t="shared" si="3"/>
        <v>-52</v>
      </c>
      <c r="Q70" s="164"/>
      <c r="R70" s="255" t="e">
        <f t="shared" si="2"/>
        <v>#DIV/0!</v>
      </c>
      <c r="S70" s="256"/>
    </row>
    <row r="71" spans="14:19" x14ac:dyDescent="0.2">
      <c r="N71" s="164"/>
      <c r="O71" s="164"/>
      <c r="P71" s="161">
        <f t="shared" ref="P71:P102" si="4">P70+(obere_Klassengrenze-untere_Klassengrenze)/100</f>
        <v>-50.5</v>
      </c>
      <c r="Q71" s="164"/>
      <c r="R71" s="255" t="e">
        <f t="shared" si="2"/>
        <v>#DIV/0!</v>
      </c>
      <c r="S71" s="256"/>
    </row>
    <row r="72" spans="14:19" x14ac:dyDescent="0.2">
      <c r="N72" s="164"/>
      <c r="O72" s="164"/>
      <c r="P72" s="161">
        <f t="shared" si="4"/>
        <v>-49</v>
      </c>
      <c r="Q72" s="164"/>
      <c r="R72" s="255" t="e">
        <f t="shared" si="2"/>
        <v>#DIV/0!</v>
      </c>
      <c r="S72" s="256"/>
    </row>
    <row r="73" spans="14:19" x14ac:dyDescent="0.2">
      <c r="N73" s="164"/>
      <c r="O73" s="164"/>
      <c r="P73" s="161">
        <f t="shared" si="4"/>
        <v>-47.5</v>
      </c>
      <c r="Q73" s="164"/>
      <c r="R73" s="255" t="e">
        <f t="shared" si="2"/>
        <v>#DIV/0!</v>
      </c>
      <c r="S73" s="256"/>
    </row>
    <row r="74" spans="14:19" x14ac:dyDescent="0.2">
      <c r="N74" s="164"/>
      <c r="O74" s="164"/>
      <c r="P74" s="161">
        <f t="shared" si="4"/>
        <v>-46</v>
      </c>
      <c r="Q74" s="164"/>
      <c r="R74" s="255" t="e">
        <f t="shared" si="2"/>
        <v>#DIV/0!</v>
      </c>
      <c r="S74" s="256"/>
    </row>
    <row r="75" spans="14:19" x14ac:dyDescent="0.2">
      <c r="N75" s="164"/>
      <c r="O75" s="164"/>
      <c r="P75" s="161">
        <f t="shared" si="4"/>
        <v>-44.5</v>
      </c>
      <c r="Q75" s="164"/>
      <c r="R75" s="255" t="e">
        <f t="shared" si="2"/>
        <v>#DIV/0!</v>
      </c>
      <c r="S75" s="256"/>
    </row>
    <row r="76" spans="14:19" x14ac:dyDescent="0.2">
      <c r="N76" s="164"/>
      <c r="O76" s="164"/>
      <c r="P76" s="161">
        <f t="shared" si="4"/>
        <v>-43</v>
      </c>
      <c r="Q76" s="164"/>
      <c r="R76" s="255" t="e">
        <f t="shared" si="2"/>
        <v>#DIV/0!</v>
      </c>
      <c r="S76" s="256"/>
    </row>
    <row r="77" spans="14:19" x14ac:dyDescent="0.2">
      <c r="N77" s="164"/>
      <c r="O77" s="164"/>
      <c r="P77" s="161">
        <f t="shared" si="4"/>
        <v>-41.5</v>
      </c>
      <c r="Q77" s="164"/>
      <c r="R77" s="255" t="e">
        <f t="shared" si="2"/>
        <v>#DIV/0!</v>
      </c>
      <c r="S77" s="256"/>
    </row>
    <row r="78" spans="14:19" x14ac:dyDescent="0.2">
      <c r="N78" s="164"/>
      <c r="O78" s="164"/>
      <c r="P78" s="161">
        <f t="shared" si="4"/>
        <v>-40</v>
      </c>
      <c r="Q78" s="164"/>
      <c r="R78" s="255" t="e">
        <f t="shared" si="2"/>
        <v>#DIV/0!</v>
      </c>
      <c r="S78" s="256"/>
    </row>
    <row r="79" spans="14:19" x14ac:dyDescent="0.2">
      <c r="N79" s="164"/>
      <c r="O79" s="164"/>
      <c r="P79" s="161">
        <f t="shared" si="4"/>
        <v>-38.5</v>
      </c>
      <c r="Q79" s="164"/>
      <c r="R79" s="255" t="e">
        <f t="shared" si="2"/>
        <v>#DIV/0!</v>
      </c>
      <c r="S79" s="256"/>
    </row>
    <row r="80" spans="14:19" x14ac:dyDescent="0.2">
      <c r="N80" s="164"/>
      <c r="O80" s="164"/>
      <c r="P80" s="161">
        <f t="shared" si="4"/>
        <v>-37</v>
      </c>
      <c r="Q80" s="164"/>
      <c r="R80" s="255" t="e">
        <f t="shared" si="2"/>
        <v>#DIV/0!</v>
      </c>
      <c r="S80" s="256"/>
    </row>
    <row r="81" spans="14:19" x14ac:dyDescent="0.2">
      <c r="N81" s="164"/>
      <c r="O81" s="164"/>
      <c r="P81" s="161">
        <f t="shared" si="4"/>
        <v>-35.5</v>
      </c>
      <c r="Q81" s="164"/>
      <c r="R81" s="255" t="e">
        <f t="shared" si="2"/>
        <v>#DIV/0!</v>
      </c>
      <c r="S81" s="256"/>
    </row>
    <row r="82" spans="14:19" x14ac:dyDescent="0.2">
      <c r="N82" s="164"/>
      <c r="O82" s="164"/>
      <c r="P82" s="161">
        <f t="shared" si="4"/>
        <v>-34</v>
      </c>
      <c r="Q82" s="164"/>
      <c r="R82" s="255" t="e">
        <f t="shared" si="2"/>
        <v>#DIV/0!</v>
      </c>
      <c r="S82" s="256"/>
    </row>
    <row r="83" spans="14:19" x14ac:dyDescent="0.2">
      <c r="N83" s="164"/>
      <c r="O83" s="164"/>
      <c r="P83" s="161">
        <f t="shared" si="4"/>
        <v>-32.5</v>
      </c>
      <c r="Q83" s="164"/>
      <c r="R83" s="255" t="e">
        <f t="shared" si="2"/>
        <v>#DIV/0!</v>
      </c>
      <c r="S83" s="256"/>
    </row>
    <row r="84" spans="14:19" x14ac:dyDescent="0.2">
      <c r="N84" s="164"/>
      <c r="O84" s="164"/>
      <c r="P84" s="161">
        <f t="shared" si="4"/>
        <v>-31</v>
      </c>
      <c r="Q84" s="164"/>
      <c r="R84" s="255" t="e">
        <f t="shared" si="2"/>
        <v>#DIV/0!</v>
      </c>
      <c r="S84" s="256"/>
    </row>
    <row r="85" spans="14:19" x14ac:dyDescent="0.2">
      <c r="N85" s="164"/>
      <c r="O85" s="164"/>
      <c r="P85" s="161">
        <f t="shared" si="4"/>
        <v>-29.5</v>
      </c>
      <c r="Q85" s="164"/>
      <c r="R85" s="255" t="e">
        <f t="shared" si="2"/>
        <v>#DIV/0!</v>
      </c>
      <c r="S85" s="256"/>
    </row>
    <row r="86" spans="14:19" x14ac:dyDescent="0.2">
      <c r="N86" s="164"/>
      <c r="O86" s="164"/>
      <c r="P86" s="161">
        <f t="shared" si="4"/>
        <v>-28</v>
      </c>
      <c r="Q86" s="164"/>
      <c r="R86" s="255" t="e">
        <f t="shared" si="2"/>
        <v>#DIV/0!</v>
      </c>
      <c r="S86" s="256"/>
    </row>
    <row r="87" spans="14:19" x14ac:dyDescent="0.2">
      <c r="N87" s="164"/>
      <c r="O87" s="164"/>
      <c r="P87" s="161">
        <f t="shared" si="4"/>
        <v>-26.5</v>
      </c>
      <c r="Q87" s="164"/>
      <c r="R87" s="255" t="e">
        <f t="shared" si="2"/>
        <v>#DIV/0!</v>
      </c>
      <c r="S87" s="256"/>
    </row>
    <row r="88" spans="14:19" x14ac:dyDescent="0.2">
      <c r="N88" s="164"/>
      <c r="O88" s="164"/>
      <c r="P88" s="161">
        <f t="shared" si="4"/>
        <v>-25</v>
      </c>
      <c r="Q88" s="164"/>
      <c r="R88" s="255" t="e">
        <f t="shared" si="2"/>
        <v>#DIV/0!</v>
      </c>
      <c r="S88" s="256"/>
    </row>
    <row r="89" spans="14:19" x14ac:dyDescent="0.2">
      <c r="N89" s="164"/>
      <c r="O89" s="164"/>
      <c r="P89" s="161">
        <f t="shared" si="4"/>
        <v>-23.5</v>
      </c>
      <c r="Q89" s="164"/>
      <c r="R89" s="255" t="e">
        <f t="shared" si="2"/>
        <v>#DIV/0!</v>
      </c>
      <c r="S89" s="256"/>
    </row>
    <row r="90" spans="14:19" x14ac:dyDescent="0.2">
      <c r="N90" s="164"/>
      <c r="O90" s="164"/>
      <c r="P90" s="161">
        <f t="shared" si="4"/>
        <v>-22</v>
      </c>
      <c r="Q90" s="164"/>
      <c r="R90" s="255" t="e">
        <f t="shared" si="2"/>
        <v>#DIV/0!</v>
      </c>
      <c r="S90" s="256"/>
    </row>
    <row r="91" spans="14:19" x14ac:dyDescent="0.2">
      <c r="N91" s="164"/>
      <c r="O91" s="164"/>
      <c r="P91" s="161">
        <f t="shared" si="4"/>
        <v>-20.5</v>
      </c>
      <c r="Q91" s="164"/>
      <c r="R91" s="255" t="e">
        <f t="shared" si="2"/>
        <v>#DIV/0!</v>
      </c>
      <c r="S91" s="256"/>
    </row>
    <row r="92" spans="14:19" x14ac:dyDescent="0.2">
      <c r="N92" s="164"/>
      <c r="O92" s="164"/>
      <c r="P92" s="161">
        <f t="shared" si="4"/>
        <v>-19</v>
      </c>
      <c r="Q92" s="164"/>
      <c r="R92" s="255" t="e">
        <f t="shared" si="2"/>
        <v>#DIV/0!</v>
      </c>
      <c r="S92" s="256"/>
    </row>
    <row r="93" spans="14:19" x14ac:dyDescent="0.2">
      <c r="N93" s="164"/>
      <c r="O93" s="164"/>
      <c r="P93" s="161">
        <f t="shared" si="4"/>
        <v>-17.5</v>
      </c>
      <c r="Q93" s="164"/>
      <c r="R93" s="255" t="e">
        <f t="shared" si="2"/>
        <v>#DIV/0!</v>
      </c>
      <c r="S93" s="256"/>
    </row>
    <row r="94" spans="14:19" x14ac:dyDescent="0.2">
      <c r="N94" s="164"/>
      <c r="O94" s="164"/>
      <c r="P94" s="161">
        <f t="shared" si="4"/>
        <v>-16</v>
      </c>
      <c r="Q94" s="164"/>
      <c r="R94" s="255" t="e">
        <f t="shared" si="2"/>
        <v>#DIV/0!</v>
      </c>
      <c r="S94" s="256"/>
    </row>
    <row r="95" spans="14:19" x14ac:dyDescent="0.2">
      <c r="N95" s="164"/>
      <c r="O95" s="164"/>
      <c r="P95" s="161">
        <f t="shared" si="4"/>
        <v>-14.5</v>
      </c>
      <c r="Q95" s="164"/>
      <c r="R95" s="255" t="e">
        <f t="shared" si="2"/>
        <v>#DIV/0!</v>
      </c>
      <c r="S95" s="256"/>
    </row>
    <row r="96" spans="14:19" x14ac:dyDescent="0.2">
      <c r="N96" s="164"/>
      <c r="O96" s="164"/>
      <c r="P96" s="161">
        <f t="shared" si="4"/>
        <v>-13</v>
      </c>
      <c r="Q96" s="164"/>
      <c r="R96" s="255" t="e">
        <f t="shared" si="2"/>
        <v>#DIV/0!</v>
      </c>
      <c r="S96" s="256"/>
    </row>
    <row r="97" spans="14:19" x14ac:dyDescent="0.2">
      <c r="N97" s="164"/>
      <c r="O97" s="164"/>
      <c r="P97" s="161">
        <f t="shared" si="4"/>
        <v>-11.5</v>
      </c>
      <c r="Q97" s="164"/>
      <c r="R97" s="255" t="e">
        <f t="shared" ref="R97:R137" si="5">0.5*(1+ERF((P97-$O$2)/SQRT(2*$O$3*$O$3)))</f>
        <v>#DIV/0!</v>
      </c>
      <c r="S97" s="256"/>
    </row>
    <row r="98" spans="14:19" x14ac:dyDescent="0.2">
      <c r="N98" s="164"/>
      <c r="O98" s="164"/>
      <c r="P98" s="161">
        <f t="shared" si="4"/>
        <v>-10</v>
      </c>
      <c r="Q98" s="164"/>
      <c r="R98" s="255" t="e">
        <f t="shared" si="5"/>
        <v>#DIV/0!</v>
      </c>
      <c r="S98" s="256"/>
    </row>
    <row r="99" spans="14:19" x14ac:dyDescent="0.2">
      <c r="N99" s="164"/>
      <c r="O99" s="164"/>
      <c r="P99" s="161">
        <f t="shared" si="4"/>
        <v>-8.5</v>
      </c>
      <c r="Q99" s="164"/>
      <c r="R99" s="255" t="e">
        <f t="shared" si="5"/>
        <v>#DIV/0!</v>
      </c>
      <c r="S99" s="256"/>
    </row>
    <row r="100" spans="14:19" x14ac:dyDescent="0.2">
      <c r="N100" s="164"/>
      <c r="O100" s="164"/>
      <c r="P100" s="161">
        <f t="shared" si="4"/>
        <v>-7</v>
      </c>
      <c r="Q100" s="164"/>
      <c r="R100" s="255" t="e">
        <f t="shared" si="5"/>
        <v>#DIV/0!</v>
      </c>
      <c r="S100" s="256"/>
    </row>
    <row r="101" spans="14:19" x14ac:dyDescent="0.2">
      <c r="N101" s="164"/>
      <c r="O101" s="164"/>
      <c r="P101" s="161">
        <f t="shared" si="4"/>
        <v>-5.5</v>
      </c>
      <c r="Q101" s="164"/>
      <c r="R101" s="255" t="e">
        <f t="shared" si="5"/>
        <v>#DIV/0!</v>
      </c>
      <c r="S101" s="256"/>
    </row>
    <row r="102" spans="14:19" x14ac:dyDescent="0.2">
      <c r="N102" s="164"/>
      <c r="O102" s="164"/>
      <c r="P102" s="161">
        <f t="shared" si="4"/>
        <v>-4</v>
      </c>
      <c r="Q102" s="164"/>
      <c r="R102" s="255" t="e">
        <f t="shared" si="5"/>
        <v>#DIV/0!</v>
      </c>
      <c r="S102" s="256"/>
    </row>
    <row r="103" spans="14:19" x14ac:dyDescent="0.2">
      <c r="N103" s="164"/>
      <c r="O103" s="164"/>
      <c r="P103" s="161">
        <f t="shared" ref="P103:P166" si="6">P102+(obere_Klassengrenze-untere_Klassengrenze)/100</f>
        <v>-2.5</v>
      </c>
      <c r="Q103" s="164"/>
      <c r="R103" s="255" t="e">
        <f t="shared" si="5"/>
        <v>#DIV/0!</v>
      </c>
      <c r="S103" s="256"/>
    </row>
    <row r="104" spans="14:19" x14ac:dyDescent="0.2">
      <c r="N104" s="164"/>
      <c r="O104" s="164"/>
      <c r="P104" s="161">
        <f t="shared" si="6"/>
        <v>-1</v>
      </c>
      <c r="Q104" s="164"/>
      <c r="R104" s="255" t="e">
        <f t="shared" si="5"/>
        <v>#DIV/0!</v>
      </c>
      <c r="S104" s="256"/>
    </row>
    <row r="105" spans="14:19" x14ac:dyDescent="0.2">
      <c r="N105" s="164"/>
      <c r="O105" s="164"/>
      <c r="P105" s="161">
        <f t="shared" si="6"/>
        <v>0.5</v>
      </c>
      <c r="Q105" s="164"/>
      <c r="R105" s="255" t="e">
        <f t="shared" si="5"/>
        <v>#DIV/0!</v>
      </c>
      <c r="S105" s="256"/>
    </row>
    <row r="106" spans="14:19" x14ac:dyDescent="0.2">
      <c r="N106" s="164"/>
      <c r="O106" s="164"/>
      <c r="P106" s="161">
        <f t="shared" si="6"/>
        <v>2</v>
      </c>
      <c r="Q106" s="164"/>
      <c r="R106" s="255" t="e">
        <f t="shared" si="5"/>
        <v>#DIV/0!</v>
      </c>
      <c r="S106" s="256"/>
    </row>
    <row r="107" spans="14:19" x14ac:dyDescent="0.2">
      <c r="N107" s="164"/>
      <c r="O107" s="164"/>
      <c r="P107" s="161">
        <f t="shared" si="6"/>
        <v>3.5</v>
      </c>
      <c r="Q107" s="164"/>
      <c r="R107" s="255" t="e">
        <f t="shared" si="5"/>
        <v>#DIV/0!</v>
      </c>
      <c r="S107" s="256"/>
    </row>
    <row r="108" spans="14:19" x14ac:dyDescent="0.2">
      <c r="N108" s="164"/>
      <c r="O108" s="164"/>
      <c r="P108" s="161">
        <f t="shared" si="6"/>
        <v>5</v>
      </c>
      <c r="Q108" s="164"/>
      <c r="R108" s="255" t="e">
        <f t="shared" si="5"/>
        <v>#DIV/0!</v>
      </c>
      <c r="S108" s="256"/>
    </row>
    <row r="109" spans="14:19" x14ac:dyDescent="0.2">
      <c r="N109" s="164"/>
      <c r="O109" s="164"/>
      <c r="P109" s="161">
        <f t="shared" si="6"/>
        <v>6.5</v>
      </c>
      <c r="Q109" s="164"/>
      <c r="R109" s="255" t="e">
        <f t="shared" si="5"/>
        <v>#DIV/0!</v>
      </c>
      <c r="S109" s="256"/>
    </row>
    <row r="110" spans="14:19" x14ac:dyDescent="0.2">
      <c r="N110" s="164"/>
      <c r="O110" s="164"/>
      <c r="P110" s="161">
        <f t="shared" si="6"/>
        <v>8</v>
      </c>
      <c r="Q110" s="164"/>
      <c r="R110" s="255" t="e">
        <f t="shared" si="5"/>
        <v>#DIV/0!</v>
      </c>
      <c r="S110" s="256"/>
    </row>
    <row r="111" spans="14:19" x14ac:dyDescent="0.2">
      <c r="N111" s="164"/>
      <c r="O111" s="164"/>
      <c r="P111" s="161">
        <f t="shared" si="6"/>
        <v>9.5</v>
      </c>
      <c r="Q111" s="164"/>
      <c r="R111" s="255" t="e">
        <f t="shared" si="5"/>
        <v>#DIV/0!</v>
      </c>
      <c r="S111" s="256"/>
    </row>
    <row r="112" spans="14:19" x14ac:dyDescent="0.2">
      <c r="N112" s="164"/>
      <c r="O112" s="164"/>
      <c r="P112" s="161">
        <f t="shared" si="6"/>
        <v>11</v>
      </c>
      <c r="Q112" s="164"/>
      <c r="R112" s="255" t="e">
        <f t="shared" si="5"/>
        <v>#DIV/0!</v>
      </c>
      <c r="S112" s="256"/>
    </row>
    <row r="113" spans="14:19" x14ac:dyDescent="0.2">
      <c r="N113" s="164"/>
      <c r="O113" s="164"/>
      <c r="P113" s="161">
        <f t="shared" si="6"/>
        <v>12.5</v>
      </c>
      <c r="Q113" s="164"/>
      <c r="R113" s="255" t="e">
        <f t="shared" si="5"/>
        <v>#DIV/0!</v>
      </c>
      <c r="S113" s="256"/>
    </row>
    <row r="114" spans="14:19" x14ac:dyDescent="0.2">
      <c r="N114" s="164"/>
      <c r="O114" s="164"/>
      <c r="P114" s="161">
        <f t="shared" si="6"/>
        <v>14</v>
      </c>
      <c r="Q114" s="164"/>
      <c r="R114" s="255" t="e">
        <f t="shared" si="5"/>
        <v>#DIV/0!</v>
      </c>
      <c r="S114" s="256"/>
    </row>
    <row r="115" spans="14:19" x14ac:dyDescent="0.2">
      <c r="N115" s="164"/>
      <c r="O115" s="164"/>
      <c r="P115" s="161">
        <f t="shared" si="6"/>
        <v>15.5</v>
      </c>
      <c r="Q115" s="164"/>
      <c r="R115" s="255" t="e">
        <f t="shared" si="5"/>
        <v>#DIV/0!</v>
      </c>
      <c r="S115" s="256"/>
    </row>
    <row r="116" spans="14:19" x14ac:dyDescent="0.2">
      <c r="N116" s="164"/>
      <c r="O116" s="164"/>
      <c r="P116" s="161">
        <f t="shared" si="6"/>
        <v>17</v>
      </c>
      <c r="Q116" s="164"/>
      <c r="R116" s="255" t="e">
        <f t="shared" si="5"/>
        <v>#DIV/0!</v>
      </c>
      <c r="S116" s="256"/>
    </row>
    <row r="117" spans="14:19" x14ac:dyDescent="0.2">
      <c r="N117" s="164"/>
      <c r="O117" s="164"/>
      <c r="P117" s="161">
        <f t="shared" si="6"/>
        <v>18.5</v>
      </c>
      <c r="Q117" s="164"/>
      <c r="R117" s="255" t="e">
        <f t="shared" si="5"/>
        <v>#DIV/0!</v>
      </c>
      <c r="S117" s="256"/>
    </row>
    <row r="118" spans="14:19" x14ac:dyDescent="0.2">
      <c r="N118" s="163"/>
      <c r="O118" s="163"/>
      <c r="P118" s="161">
        <f t="shared" si="6"/>
        <v>20</v>
      </c>
      <c r="Q118" s="163"/>
      <c r="R118" s="255" t="e">
        <f t="shared" si="5"/>
        <v>#DIV/0!</v>
      </c>
      <c r="S118" s="256"/>
    </row>
    <row r="119" spans="14:19" x14ac:dyDescent="0.2">
      <c r="N119" s="163"/>
      <c r="O119" s="163"/>
      <c r="P119" s="161">
        <f t="shared" si="6"/>
        <v>21.5</v>
      </c>
      <c r="Q119" s="163"/>
      <c r="R119" s="255" t="e">
        <f t="shared" si="5"/>
        <v>#DIV/0!</v>
      </c>
      <c r="S119" s="256"/>
    </row>
    <row r="120" spans="14:19" x14ac:dyDescent="0.2">
      <c r="N120" s="163"/>
      <c r="O120" s="163"/>
      <c r="P120" s="161">
        <f t="shared" si="6"/>
        <v>23</v>
      </c>
      <c r="Q120" s="163"/>
      <c r="R120" s="255" t="e">
        <f t="shared" si="5"/>
        <v>#DIV/0!</v>
      </c>
      <c r="S120" s="256"/>
    </row>
    <row r="121" spans="14:19" x14ac:dyDescent="0.2">
      <c r="N121" s="163"/>
      <c r="O121" s="163"/>
      <c r="P121" s="161">
        <f t="shared" si="6"/>
        <v>24.5</v>
      </c>
      <c r="Q121" s="163"/>
      <c r="R121" s="255" t="e">
        <f t="shared" si="5"/>
        <v>#DIV/0!</v>
      </c>
      <c r="S121" s="256"/>
    </row>
    <row r="122" spans="14:19" x14ac:dyDescent="0.2">
      <c r="N122" s="163"/>
      <c r="O122" s="163"/>
      <c r="P122" s="161">
        <f t="shared" si="6"/>
        <v>26</v>
      </c>
      <c r="Q122" s="163"/>
      <c r="R122" s="255" t="e">
        <f t="shared" si="5"/>
        <v>#DIV/0!</v>
      </c>
      <c r="S122" s="256"/>
    </row>
    <row r="123" spans="14:19" x14ac:dyDescent="0.2">
      <c r="N123" s="163"/>
      <c r="O123" s="163"/>
      <c r="P123" s="161">
        <f t="shared" si="6"/>
        <v>27.5</v>
      </c>
      <c r="Q123" s="163"/>
      <c r="R123" s="255" t="e">
        <f t="shared" si="5"/>
        <v>#DIV/0!</v>
      </c>
      <c r="S123" s="256"/>
    </row>
    <row r="124" spans="14:19" x14ac:dyDescent="0.2">
      <c r="N124" s="163"/>
      <c r="O124" s="163"/>
      <c r="P124" s="161">
        <f t="shared" si="6"/>
        <v>29</v>
      </c>
      <c r="Q124" s="163"/>
      <c r="R124" s="255" t="e">
        <f t="shared" si="5"/>
        <v>#DIV/0!</v>
      </c>
      <c r="S124" s="256"/>
    </row>
    <row r="125" spans="14:19" x14ac:dyDescent="0.2">
      <c r="N125" s="163"/>
      <c r="O125" s="163"/>
      <c r="P125" s="161">
        <f t="shared" si="6"/>
        <v>30.5</v>
      </c>
      <c r="Q125" s="163"/>
      <c r="R125" s="255" t="e">
        <f t="shared" si="5"/>
        <v>#DIV/0!</v>
      </c>
      <c r="S125" s="256"/>
    </row>
    <row r="126" spans="14:19" x14ac:dyDescent="0.2">
      <c r="N126" s="163"/>
      <c r="O126" s="163"/>
      <c r="P126" s="161">
        <f t="shared" si="6"/>
        <v>32</v>
      </c>
      <c r="Q126" s="163"/>
      <c r="R126" s="255" t="e">
        <f t="shared" si="5"/>
        <v>#DIV/0!</v>
      </c>
      <c r="S126" s="256"/>
    </row>
    <row r="127" spans="14:19" x14ac:dyDescent="0.2">
      <c r="N127" s="163"/>
      <c r="O127" s="163"/>
      <c r="P127" s="161">
        <f t="shared" si="6"/>
        <v>33.5</v>
      </c>
      <c r="Q127" s="163"/>
      <c r="R127" s="255" t="e">
        <f t="shared" si="5"/>
        <v>#DIV/0!</v>
      </c>
      <c r="S127" s="256"/>
    </row>
    <row r="128" spans="14:19" x14ac:dyDescent="0.2">
      <c r="N128" s="163"/>
      <c r="O128" s="163"/>
      <c r="P128" s="161">
        <f t="shared" si="6"/>
        <v>35</v>
      </c>
      <c r="Q128" s="163"/>
      <c r="R128" s="255" t="e">
        <f t="shared" si="5"/>
        <v>#DIV/0!</v>
      </c>
      <c r="S128" s="256"/>
    </row>
    <row r="129" spans="14:19" x14ac:dyDescent="0.2">
      <c r="N129" s="163"/>
      <c r="O129" s="163"/>
      <c r="P129" s="161">
        <f t="shared" si="6"/>
        <v>36.5</v>
      </c>
      <c r="Q129" s="163"/>
      <c r="R129" s="255" t="e">
        <f t="shared" si="5"/>
        <v>#DIV/0!</v>
      </c>
      <c r="S129" s="256"/>
    </row>
    <row r="130" spans="14:19" x14ac:dyDescent="0.2">
      <c r="N130" s="163"/>
      <c r="O130" s="163"/>
      <c r="P130" s="161">
        <f t="shared" si="6"/>
        <v>38</v>
      </c>
      <c r="Q130" s="163"/>
      <c r="R130" s="255" t="e">
        <f t="shared" si="5"/>
        <v>#DIV/0!</v>
      </c>
      <c r="S130" s="256"/>
    </row>
    <row r="131" spans="14:19" x14ac:dyDescent="0.2">
      <c r="N131" s="163"/>
      <c r="O131" s="163"/>
      <c r="P131" s="161">
        <f t="shared" si="6"/>
        <v>39.5</v>
      </c>
      <c r="Q131" s="163"/>
      <c r="R131" s="255" t="e">
        <f t="shared" si="5"/>
        <v>#DIV/0!</v>
      </c>
      <c r="S131" s="256"/>
    </row>
    <row r="132" spans="14:19" x14ac:dyDescent="0.2">
      <c r="N132" s="163"/>
      <c r="O132" s="163"/>
      <c r="P132" s="161">
        <f t="shared" si="6"/>
        <v>41</v>
      </c>
      <c r="Q132" s="163"/>
      <c r="R132" s="255" t="e">
        <f t="shared" si="5"/>
        <v>#DIV/0!</v>
      </c>
      <c r="S132" s="256"/>
    </row>
    <row r="133" spans="14:19" x14ac:dyDescent="0.2">
      <c r="N133" s="163"/>
      <c r="O133" s="163"/>
      <c r="P133" s="161">
        <f t="shared" si="6"/>
        <v>42.5</v>
      </c>
      <c r="Q133" s="163"/>
      <c r="R133" s="255" t="e">
        <f t="shared" si="5"/>
        <v>#DIV/0!</v>
      </c>
      <c r="S133" s="256"/>
    </row>
    <row r="134" spans="14:19" x14ac:dyDescent="0.2">
      <c r="N134" s="163"/>
      <c r="O134" s="163"/>
      <c r="P134" s="161">
        <f t="shared" si="6"/>
        <v>44</v>
      </c>
      <c r="Q134" s="163"/>
      <c r="R134" s="255" t="e">
        <f t="shared" si="5"/>
        <v>#DIV/0!</v>
      </c>
      <c r="S134" s="256"/>
    </row>
    <row r="135" spans="14:19" x14ac:dyDescent="0.2">
      <c r="N135" s="163"/>
      <c r="O135" s="163"/>
      <c r="P135" s="161">
        <f t="shared" si="6"/>
        <v>45.5</v>
      </c>
      <c r="Q135" s="163"/>
      <c r="R135" s="255" t="e">
        <f t="shared" si="5"/>
        <v>#DIV/0!</v>
      </c>
      <c r="S135" s="256"/>
    </row>
    <row r="136" spans="14:19" x14ac:dyDescent="0.2">
      <c r="N136" s="163"/>
      <c r="O136" s="163"/>
      <c r="P136" s="161">
        <f t="shared" si="6"/>
        <v>47</v>
      </c>
      <c r="Q136" s="163"/>
      <c r="R136" s="255" t="e">
        <f t="shared" si="5"/>
        <v>#DIV/0!</v>
      </c>
      <c r="S136" s="256"/>
    </row>
    <row r="137" spans="14:19" x14ac:dyDescent="0.2">
      <c r="N137" s="163"/>
      <c r="O137" s="163"/>
      <c r="P137" s="161">
        <f t="shared" si="6"/>
        <v>48.5</v>
      </c>
      <c r="Q137" s="163"/>
      <c r="R137" s="255" t="e">
        <f t="shared" si="5"/>
        <v>#DIV/0!</v>
      </c>
      <c r="S137" s="256"/>
    </row>
    <row r="138" spans="14:19" x14ac:dyDescent="0.2">
      <c r="N138" s="163"/>
      <c r="O138" s="163"/>
      <c r="P138" s="161">
        <f t="shared" si="6"/>
        <v>50</v>
      </c>
      <c r="Q138" s="163"/>
      <c r="R138" s="255" t="e">
        <f t="shared" ref="R138:R147" si="7">0.5*(1+ERF((P138-$O$2)/SQRT(2*$O$3*$O$3)))</f>
        <v>#DIV/0!</v>
      </c>
      <c r="S138" s="256"/>
    </row>
    <row r="139" spans="14:19" x14ac:dyDescent="0.2">
      <c r="P139" s="161">
        <f t="shared" si="6"/>
        <v>51.5</v>
      </c>
      <c r="Q139" s="163"/>
      <c r="R139" s="255" t="e">
        <f t="shared" si="7"/>
        <v>#DIV/0!</v>
      </c>
      <c r="S139" s="256"/>
    </row>
    <row r="140" spans="14:19" x14ac:dyDescent="0.2">
      <c r="P140" s="161">
        <f t="shared" si="6"/>
        <v>53</v>
      </c>
      <c r="Q140" s="163"/>
      <c r="R140" s="255" t="e">
        <f t="shared" si="7"/>
        <v>#DIV/0!</v>
      </c>
      <c r="S140" s="256"/>
    </row>
    <row r="141" spans="14:19" x14ac:dyDescent="0.2">
      <c r="P141" s="161">
        <f t="shared" si="6"/>
        <v>54.5</v>
      </c>
      <c r="Q141" s="163"/>
      <c r="R141" s="255" t="e">
        <f t="shared" si="7"/>
        <v>#DIV/0!</v>
      </c>
      <c r="S141" s="256"/>
    </row>
    <row r="142" spans="14:19" x14ac:dyDescent="0.2">
      <c r="P142" s="161">
        <f t="shared" si="6"/>
        <v>56</v>
      </c>
      <c r="Q142" s="163"/>
      <c r="R142" s="255" t="e">
        <f t="shared" si="7"/>
        <v>#DIV/0!</v>
      </c>
      <c r="S142" s="256"/>
    </row>
    <row r="143" spans="14:19" x14ac:dyDescent="0.2">
      <c r="P143" s="161">
        <f t="shared" si="6"/>
        <v>57.5</v>
      </c>
      <c r="Q143" s="163"/>
      <c r="R143" s="255" t="e">
        <f t="shared" si="7"/>
        <v>#DIV/0!</v>
      </c>
      <c r="S143" s="256"/>
    </row>
    <row r="144" spans="14:19" x14ac:dyDescent="0.2">
      <c r="P144" s="161">
        <f t="shared" si="6"/>
        <v>59</v>
      </c>
      <c r="Q144" s="163"/>
      <c r="R144" s="255" t="e">
        <f t="shared" si="7"/>
        <v>#DIV/0!</v>
      </c>
      <c r="S144" s="256"/>
    </row>
    <row r="145" spans="16:19" x14ac:dyDescent="0.2">
      <c r="P145" s="161">
        <f t="shared" si="6"/>
        <v>60.5</v>
      </c>
      <c r="Q145" s="163"/>
      <c r="R145" s="255" t="e">
        <f t="shared" si="7"/>
        <v>#DIV/0!</v>
      </c>
      <c r="S145" s="256"/>
    </row>
    <row r="146" spans="16:19" x14ac:dyDescent="0.2">
      <c r="P146" s="161">
        <f t="shared" si="6"/>
        <v>62</v>
      </c>
      <c r="Q146" s="163"/>
      <c r="R146" s="255" t="e">
        <f t="shared" si="7"/>
        <v>#DIV/0!</v>
      </c>
      <c r="S146" s="256"/>
    </row>
    <row r="147" spans="16:19" x14ac:dyDescent="0.2">
      <c r="P147" s="161">
        <f t="shared" si="6"/>
        <v>63.5</v>
      </c>
      <c r="Q147" s="163"/>
      <c r="R147" s="255" t="e">
        <f t="shared" si="7"/>
        <v>#DIV/0!</v>
      </c>
      <c r="S147" s="256"/>
    </row>
    <row r="148" spans="16:19" x14ac:dyDescent="0.2">
      <c r="P148" s="161">
        <f t="shared" si="6"/>
        <v>65</v>
      </c>
      <c r="Q148" s="163"/>
      <c r="R148" s="255" t="e">
        <f t="shared" ref="R148:R177" si="8">0.5*(1+ERF((P148-$O$2)/SQRT(2*$O$3*$O$3)))</f>
        <v>#DIV/0!</v>
      </c>
      <c r="S148" s="256"/>
    </row>
    <row r="149" spans="16:19" x14ac:dyDescent="0.2">
      <c r="P149" s="161">
        <f t="shared" si="6"/>
        <v>66.5</v>
      </c>
      <c r="Q149" s="163"/>
      <c r="R149" s="255" t="e">
        <f t="shared" si="8"/>
        <v>#DIV/0!</v>
      </c>
      <c r="S149" s="256"/>
    </row>
    <row r="150" spans="16:19" x14ac:dyDescent="0.2">
      <c r="P150" s="161">
        <f t="shared" si="6"/>
        <v>68</v>
      </c>
      <c r="Q150" s="163"/>
      <c r="R150" s="255" t="e">
        <f t="shared" si="8"/>
        <v>#DIV/0!</v>
      </c>
      <c r="S150" s="256"/>
    </row>
    <row r="151" spans="16:19" x14ac:dyDescent="0.2">
      <c r="P151" s="161">
        <f t="shared" si="6"/>
        <v>69.5</v>
      </c>
      <c r="Q151" s="163"/>
      <c r="R151" s="255" t="e">
        <f t="shared" si="8"/>
        <v>#DIV/0!</v>
      </c>
      <c r="S151" s="256"/>
    </row>
    <row r="152" spans="16:19" x14ac:dyDescent="0.2">
      <c r="P152" s="161">
        <f t="shared" si="6"/>
        <v>71</v>
      </c>
      <c r="Q152" s="163"/>
      <c r="R152" s="255" t="e">
        <f t="shared" si="8"/>
        <v>#DIV/0!</v>
      </c>
      <c r="S152" s="256"/>
    </row>
    <row r="153" spans="16:19" x14ac:dyDescent="0.2">
      <c r="P153" s="161">
        <f t="shared" si="6"/>
        <v>72.5</v>
      </c>
      <c r="Q153" s="163"/>
      <c r="R153" s="255" t="e">
        <f t="shared" si="8"/>
        <v>#DIV/0!</v>
      </c>
      <c r="S153" s="256"/>
    </row>
    <row r="154" spans="16:19" x14ac:dyDescent="0.2">
      <c r="P154" s="161">
        <f t="shared" si="6"/>
        <v>74</v>
      </c>
      <c r="Q154" s="163"/>
      <c r="R154" s="255" t="e">
        <f t="shared" si="8"/>
        <v>#DIV/0!</v>
      </c>
      <c r="S154" s="256"/>
    </row>
    <row r="155" spans="16:19" x14ac:dyDescent="0.2">
      <c r="P155" s="161">
        <f t="shared" si="6"/>
        <v>75.5</v>
      </c>
      <c r="Q155" s="163"/>
      <c r="R155" s="255" t="e">
        <f t="shared" si="8"/>
        <v>#DIV/0!</v>
      </c>
      <c r="S155" s="256"/>
    </row>
    <row r="156" spans="16:19" x14ac:dyDescent="0.2">
      <c r="P156" s="161">
        <f t="shared" si="6"/>
        <v>77</v>
      </c>
      <c r="Q156" s="163"/>
      <c r="R156" s="255" t="e">
        <f t="shared" si="8"/>
        <v>#DIV/0!</v>
      </c>
      <c r="S156" s="256"/>
    </row>
    <row r="157" spans="16:19" x14ac:dyDescent="0.2">
      <c r="P157" s="161">
        <f t="shared" si="6"/>
        <v>78.5</v>
      </c>
      <c r="Q157" s="163"/>
      <c r="R157" s="255" t="e">
        <f t="shared" si="8"/>
        <v>#DIV/0!</v>
      </c>
      <c r="S157" s="256"/>
    </row>
    <row r="158" spans="16:19" x14ac:dyDescent="0.2">
      <c r="P158" s="161">
        <f t="shared" si="6"/>
        <v>80</v>
      </c>
      <c r="Q158" s="163"/>
      <c r="R158" s="255" t="e">
        <f t="shared" si="8"/>
        <v>#DIV/0!</v>
      </c>
      <c r="S158" s="256"/>
    </row>
    <row r="159" spans="16:19" x14ac:dyDescent="0.2">
      <c r="P159" s="161">
        <f t="shared" si="6"/>
        <v>81.5</v>
      </c>
      <c r="Q159" s="163"/>
      <c r="R159" s="255" t="e">
        <f t="shared" si="8"/>
        <v>#DIV/0!</v>
      </c>
      <c r="S159" s="256"/>
    </row>
    <row r="160" spans="16:19" x14ac:dyDescent="0.2">
      <c r="P160" s="161">
        <f t="shared" si="6"/>
        <v>83</v>
      </c>
      <c r="Q160" s="163"/>
      <c r="R160" s="255" t="e">
        <f t="shared" si="8"/>
        <v>#DIV/0!</v>
      </c>
      <c r="S160" s="256"/>
    </row>
    <row r="161" spans="16:19" x14ac:dyDescent="0.2">
      <c r="P161" s="161">
        <f t="shared" si="6"/>
        <v>84.5</v>
      </c>
      <c r="Q161" s="163"/>
      <c r="R161" s="255" t="e">
        <f t="shared" si="8"/>
        <v>#DIV/0!</v>
      </c>
      <c r="S161" s="256"/>
    </row>
    <row r="162" spans="16:19" x14ac:dyDescent="0.2">
      <c r="P162" s="161">
        <f t="shared" si="6"/>
        <v>86</v>
      </c>
      <c r="Q162" s="163"/>
      <c r="R162" s="255" t="e">
        <f t="shared" si="8"/>
        <v>#DIV/0!</v>
      </c>
      <c r="S162" s="256"/>
    </row>
    <row r="163" spans="16:19" x14ac:dyDescent="0.2">
      <c r="P163" s="161">
        <f t="shared" si="6"/>
        <v>87.5</v>
      </c>
      <c r="Q163" s="163"/>
      <c r="R163" s="255" t="e">
        <f t="shared" si="8"/>
        <v>#DIV/0!</v>
      </c>
      <c r="S163" s="256"/>
    </row>
    <row r="164" spans="16:19" x14ac:dyDescent="0.2">
      <c r="P164" s="161">
        <f t="shared" si="6"/>
        <v>89</v>
      </c>
      <c r="Q164" s="163"/>
      <c r="R164" s="255" t="e">
        <f t="shared" si="8"/>
        <v>#DIV/0!</v>
      </c>
      <c r="S164" s="256"/>
    </row>
    <row r="165" spans="16:19" x14ac:dyDescent="0.2">
      <c r="P165" s="161">
        <f t="shared" si="6"/>
        <v>90.5</v>
      </c>
      <c r="Q165" s="163"/>
      <c r="R165" s="255" t="e">
        <f t="shared" si="8"/>
        <v>#DIV/0!</v>
      </c>
      <c r="S165" s="256"/>
    </row>
    <row r="166" spans="16:19" x14ac:dyDescent="0.2">
      <c r="P166" s="161">
        <f t="shared" si="6"/>
        <v>92</v>
      </c>
      <c r="Q166" s="163"/>
      <c r="R166" s="255" t="e">
        <f t="shared" si="8"/>
        <v>#DIV/0!</v>
      </c>
      <c r="S166" s="256"/>
    </row>
    <row r="167" spans="16:19" x14ac:dyDescent="0.2">
      <c r="P167" s="161">
        <f t="shared" ref="P167:P230" si="9">P166+(obere_Klassengrenze-untere_Klassengrenze)/100</f>
        <v>93.5</v>
      </c>
      <c r="Q167" s="163"/>
      <c r="R167" s="255" t="e">
        <f t="shared" si="8"/>
        <v>#DIV/0!</v>
      </c>
      <c r="S167" s="256"/>
    </row>
    <row r="168" spans="16:19" x14ac:dyDescent="0.2">
      <c r="P168" s="161">
        <f t="shared" si="9"/>
        <v>95</v>
      </c>
      <c r="Q168" s="163"/>
      <c r="R168" s="255" t="e">
        <f t="shared" si="8"/>
        <v>#DIV/0!</v>
      </c>
      <c r="S168" s="256"/>
    </row>
    <row r="169" spans="16:19" x14ac:dyDescent="0.2">
      <c r="P169" s="161">
        <f t="shared" si="9"/>
        <v>96.5</v>
      </c>
      <c r="Q169" s="163"/>
      <c r="R169" s="255" t="e">
        <f t="shared" si="8"/>
        <v>#DIV/0!</v>
      </c>
      <c r="S169" s="256"/>
    </row>
    <row r="170" spans="16:19" x14ac:dyDescent="0.2">
      <c r="P170" s="161">
        <f t="shared" si="9"/>
        <v>98</v>
      </c>
      <c r="Q170" s="163"/>
      <c r="R170" s="255" t="e">
        <f t="shared" si="8"/>
        <v>#DIV/0!</v>
      </c>
      <c r="S170" s="256"/>
    </row>
    <row r="171" spans="16:19" x14ac:dyDescent="0.2">
      <c r="P171" s="161">
        <f t="shared" si="9"/>
        <v>99.5</v>
      </c>
      <c r="Q171" s="163"/>
      <c r="R171" s="255" t="e">
        <f t="shared" si="8"/>
        <v>#DIV/0!</v>
      </c>
      <c r="S171" s="256"/>
    </row>
    <row r="172" spans="16:19" x14ac:dyDescent="0.2">
      <c r="P172" s="161">
        <f t="shared" si="9"/>
        <v>101</v>
      </c>
      <c r="Q172" s="163"/>
      <c r="R172" s="255" t="e">
        <f t="shared" si="8"/>
        <v>#DIV/0!</v>
      </c>
      <c r="S172" s="256"/>
    </row>
    <row r="173" spans="16:19" x14ac:dyDescent="0.2">
      <c r="P173" s="161">
        <f t="shared" si="9"/>
        <v>102.5</v>
      </c>
      <c r="Q173" s="163"/>
      <c r="R173" s="255" t="e">
        <f t="shared" si="8"/>
        <v>#DIV/0!</v>
      </c>
      <c r="S173" s="256"/>
    </row>
    <row r="174" spans="16:19" x14ac:dyDescent="0.2">
      <c r="P174" s="161">
        <f t="shared" si="9"/>
        <v>104</v>
      </c>
      <c r="Q174" s="163"/>
      <c r="R174" s="255" t="e">
        <f t="shared" si="8"/>
        <v>#DIV/0!</v>
      </c>
      <c r="S174" s="256"/>
    </row>
    <row r="175" spans="16:19" x14ac:dyDescent="0.2">
      <c r="P175" s="161">
        <f t="shared" si="9"/>
        <v>105.5</v>
      </c>
      <c r="Q175" s="163"/>
      <c r="R175" s="255" t="e">
        <f t="shared" si="8"/>
        <v>#DIV/0!</v>
      </c>
      <c r="S175" s="256"/>
    </row>
    <row r="176" spans="16:19" x14ac:dyDescent="0.2">
      <c r="P176" s="161">
        <f t="shared" si="9"/>
        <v>107</v>
      </c>
      <c r="Q176" s="163"/>
      <c r="R176" s="255" t="e">
        <f t="shared" si="8"/>
        <v>#DIV/0!</v>
      </c>
      <c r="S176" s="256"/>
    </row>
    <row r="177" spans="16:19" x14ac:dyDescent="0.2">
      <c r="P177" s="161">
        <f t="shared" si="9"/>
        <v>108.5</v>
      </c>
      <c r="Q177" s="163"/>
      <c r="R177" s="255" t="e">
        <f t="shared" si="8"/>
        <v>#DIV/0!</v>
      </c>
      <c r="S177" s="256"/>
    </row>
    <row r="178" spans="16:19" x14ac:dyDescent="0.2">
      <c r="P178" s="161">
        <f t="shared" si="9"/>
        <v>110</v>
      </c>
      <c r="Q178" s="163"/>
      <c r="R178" s="255" t="e">
        <f t="shared" ref="R178:R237" si="10">0.5*(1+ERF((P178-$O$2)/SQRT(2*$O$3*$O$3)))</f>
        <v>#DIV/0!</v>
      </c>
      <c r="S178" s="256"/>
    </row>
    <row r="179" spans="16:19" x14ac:dyDescent="0.2">
      <c r="P179" s="161">
        <f t="shared" si="9"/>
        <v>111.5</v>
      </c>
      <c r="Q179" s="163"/>
      <c r="R179" s="255" t="e">
        <f t="shared" si="10"/>
        <v>#DIV/0!</v>
      </c>
      <c r="S179" s="256"/>
    </row>
    <row r="180" spans="16:19" x14ac:dyDescent="0.2">
      <c r="P180" s="161">
        <f t="shared" si="9"/>
        <v>113</v>
      </c>
      <c r="Q180" s="163"/>
      <c r="R180" s="255" t="e">
        <f t="shared" si="10"/>
        <v>#DIV/0!</v>
      </c>
      <c r="S180" s="256"/>
    </row>
    <row r="181" spans="16:19" x14ac:dyDescent="0.2">
      <c r="P181" s="161">
        <f t="shared" si="9"/>
        <v>114.5</v>
      </c>
      <c r="Q181" s="163"/>
      <c r="R181" s="255" t="e">
        <f t="shared" si="10"/>
        <v>#DIV/0!</v>
      </c>
      <c r="S181" s="256"/>
    </row>
    <row r="182" spans="16:19" x14ac:dyDescent="0.2">
      <c r="P182" s="161">
        <f t="shared" si="9"/>
        <v>116</v>
      </c>
      <c r="Q182" s="163"/>
      <c r="R182" s="255" t="e">
        <f t="shared" si="10"/>
        <v>#DIV/0!</v>
      </c>
      <c r="S182" s="256"/>
    </row>
    <row r="183" spans="16:19" x14ac:dyDescent="0.2">
      <c r="P183" s="161">
        <f t="shared" si="9"/>
        <v>117.5</v>
      </c>
      <c r="Q183" s="163"/>
      <c r="R183" s="255" t="e">
        <f t="shared" si="10"/>
        <v>#DIV/0!</v>
      </c>
      <c r="S183" s="256"/>
    </row>
    <row r="184" spans="16:19" x14ac:dyDescent="0.2">
      <c r="P184" s="161">
        <f t="shared" si="9"/>
        <v>119</v>
      </c>
      <c r="Q184" s="163"/>
      <c r="R184" s="255" t="e">
        <f t="shared" si="10"/>
        <v>#DIV/0!</v>
      </c>
      <c r="S184" s="256"/>
    </row>
    <row r="185" spans="16:19" x14ac:dyDescent="0.2">
      <c r="P185" s="161">
        <f t="shared" si="9"/>
        <v>120.5</v>
      </c>
      <c r="Q185" s="163"/>
      <c r="R185" s="255" t="e">
        <f t="shared" si="10"/>
        <v>#DIV/0!</v>
      </c>
      <c r="S185" s="256"/>
    </row>
    <row r="186" spans="16:19" x14ac:dyDescent="0.2">
      <c r="P186" s="161">
        <f t="shared" si="9"/>
        <v>122</v>
      </c>
      <c r="Q186" s="163"/>
      <c r="R186" s="255" t="e">
        <f t="shared" si="10"/>
        <v>#DIV/0!</v>
      </c>
      <c r="S186" s="256"/>
    </row>
    <row r="187" spans="16:19" x14ac:dyDescent="0.2">
      <c r="P187" s="161">
        <f t="shared" si="9"/>
        <v>123.5</v>
      </c>
      <c r="Q187" s="163"/>
      <c r="R187" s="255" t="e">
        <f t="shared" si="10"/>
        <v>#DIV/0!</v>
      </c>
      <c r="S187" s="256"/>
    </row>
    <row r="188" spans="16:19" x14ac:dyDescent="0.2">
      <c r="P188" s="161">
        <f t="shared" si="9"/>
        <v>125</v>
      </c>
      <c r="Q188" s="163"/>
      <c r="R188" s="255" t="e">
        <f t="shared" si="10"/>
        <v>#DIV/0!</v>
      </c>
      <c r="S188" s="256"/>
    </row>
    <row r="189" spans="16:19" x14ac:dyDescent="0.2">
      <c r="P189" s="161">
        <f t="shared" si="9"/>
        <v>126.5</v>
      </c>
      <c r="Q189" s="163"/>
      <c r="R189" s="255" t="e">
        <f t="shared" si="10"/>
        <v>#DIV/0!</v>
      </c>
      <c r="S189" s="256"/>
    </row>
    <row r="190" spans="16:19" x14ac:dyDescent="0.2">
      <c r="P190" s="161">
        <f t="shared" si="9"/>
        <v>128</v>
      </c>
      <c r="Q190" s="163"/>
      <c r="R190" s="255" t="e">
        <f t="shared" si="10"/>
        <v>#DIV/0!</v>
      </c>
      <c r="S190" s="256"/>
    </row>
    <row r="191" spans="16:19" x14ac:dyDescent="0.2">
      <c r="P191" s="161">
        <f t="shared" si="9"/>
        <v>129.5</v>
      </c>
      <c r="Q191" s="163"/>
      <c r="R191" s="255" t="e">
        <f t="shared" si="10"/>
        <v>#DIV/0!</v>
      </c>
      <c r="S191" s="256"/>
    </row>
    <row r="192" spans="16:19" x14ac:dyDescent="0.2">
      <c r="P192" s="161">
        <f t="shared" si="9"/>
        <v>131</v>
      </c>
      <c r="Q192" s="163"/>
      <c r="R192" s="255" t="e">
        <f t="shared" si="10"/>
        <v>#DIV/0!</v>
      </c>
      <c r="S192" s="256"/>
    </row>
    <row r="193" spans="16:19" x14ac:dyDescent="0.2">
      <c r="P193" s="161">
        <f t="shared" si="9"/>
        <v>132.5</v>
      </c>
      <c r="Q193" s="163"/>
      <c r="R193" s="255" t="e">
        <f t="shared" si="10"/>
        <v>#DIV/0!</v>
      </c>
      <c r="S193" s="256"/>
    </row>
    <row r="194" spans="16:19" x14ac:dyDescent="0.2">
      <c r="P194" s="161">
        <f t="shared" si="9"/>
        <v>134</v>
      </c>
      <c r="Q194" s="163"/>
      <c r="R194" s="255" t="e">
        <f t="shared" si="10"/>
        <v>#DIV/0!</v>
      </c>
      <c r="S194" s="256"/>
    </row>
    <row r="195" spans="16:19" x14ac:dyDescent="0.2">
      <c r="P195" s="161">
        <f t="shared" si="9"/>
        <v>135.5</v>
      </c>
      <c r="Q195" s="163"/>
      <c r="R195" s="255" t="e">
        <f t="shared" si="10"/>
        <v>#DIV/0!</v>
      </c>
      <c r="S195" s="256"/>
    </row>
    <row r="196" spans="16:19" x14ac:dyDescent="0.2">
      <c r="P196" s="161">
        <f t="shared" si="9"/>
        <v>137</v>
      </c>
      <c r="Q196" s="163"/>
      <c r="R196" s="255" t="e">
        <f t="shared" si="10"/>
        <v>#DIV/0!</v>
      </c>
      <c r="S196" s="256"/>
    </row>
    <row r="197" spans="16:19" x14ac:dyDescent="0.2">
      <c r="P197" s="161">
        <f t="shared" si="9"/>
        <v>138.5</v>
      </c>
      <c r="Q197" s="163"/>
      <c r="R197" s="255" t="e">
        <f t="shared" si="10"/>
        <v>#DIV/0!</v>
      </c>
      <c r="S197" s="256"/>
    </row>
    <row r="198" spans="16:19" x14ac:dyDescent="0.2">
      <c r="P198" s="161">
        <f t="shared" si="9"/>
        <v>140</v>
      </c>
      <c r="Q198" s="163"/>
      <c r="R198" s="255" t="e">
        <f t="shared" si="10"/>
        <v>#DIV/0!</v>
      </c>
      <c r="S198" s="256"/>
    </row>
    <row r="199" spans="16:19" x14ac:dyDescent="0.2">
      <c r="P199" s="161">
        <f t="shared" si="9"/>
        <v>141.5</v>
      </c>
      <c r="Q199" s="163"/>
      <c r="R199" s="255" t="e">
        <f t="shared" si="10"/>
        <v>#DIV/0!</v>
      </c>
      <c r="S199" s="256"/>
    </row>
    <row r="200" spans="16:19" x14ac:dyDescent="0.2">
      <c r="P200" s="161">
        <f t="shared" si="9"/>
        <v>143</v>
      </c>
      <c r="Q200" s="163"/>
      <c r="R200" s="255" t="e">
        <f t="shared" si="10"/>
        <v>#DIV/0!</v>
      </c>
      <c r="S200" s="256"/>
    </row>
    <row r="201" spans="16:19" x14ac:dyDescent="0.2">
      <c r="P201" s="161">
        <f t="shared" si="9"/>
        <v>144.5</v>
      </c>
      <c r="Q201" s="163"/>
      <c r="R201" s="255" t="e">
        <f t="shared" si="10"/>
        <v>#DIV/0!</v>
      </c>
      <c r="S201" s="256"/>
    </row>
    <row r="202" spans="16:19" x14ac:dyDescent="0.2">
      <c r="P202" s="161">
        <f t="shared" si="9"/>
        <v>146</v>
      </c>
      <c r="Q202" s="163"/>
      <c r="R202" s="255" t="e">
        <f t="shared" si="10"/>
        <v>#DIV/0!</v>
      </c>
      <c r="S202" s="256"/>
    </row>
    <row r="203" spans="16:19" x14ac:dyDescent="0.2">
      <c r="P203" s="161">
        <f t="shared" si="9"/>
        <v>147.5</v>
      </c>
      <c r="Q203" s="163"/>
      <c r="R203" s="255" t="e">
        <f t="shared" si="10"/>
        <v>#DIV/0!</v>
      </c>
      <c r="S203" s="256"/>
    </row>
    <row r="204" spans="16:19" x14ac:dyDescent="0.2">
      <c r="P204" s="161">
        <f t="shared" si="9"/>
        <v>149</v>
      </c>
      <c r="Q204" s="163"/>
      <c r="R204" s="255" t="e">
        <f t="shared" si="10"/>
        <v>#DIV/0!</v>
      </c>
      <c r="S204" s="256"/>
    </row>
    <row r="205" spans="16:19" x14ac:dyDescent="0.2">
      <c r="P205" s="161">
        <f t="shared" si="9"/>
        <v>150.5</v>
      </c>
      <c r="Q205" s="163"/>
      <c r="R205" s="255" t="e">
        <f t="shared" si="10"/>
        <v>#DIV/0!</v>
      </c>
      <c r="S205" s="256"/>
    </row>
    <row r="206" spans="16:19" x14ac:dyDescent="0.2">
      <c r="P206" s="161">
        <f t="shared" si="9"/>
        <v>152</v>
      </c>
      <c r="Q206" s="163"/>
      <c r="R206" s="255" t="e">
        <f t="shared" si="10"/>
        <v>#DIV/0!</v>
      </c>
      <c r="S206" s="256"/>
    </row>
    <row r="207" spans="16:19" x14ac:dyDescent="0.2">
      <c r="P207" s="161">
        <f t="shared" si="9"/>
        <v>153.5</v>
      </c>
      <c r="Q207" s="163"/>
      <c r="R207" s="255" t="e">
        <f t="shared" si="10"/>
        <v>#DIV/0!</v>
      </c>
      <c r="S207" s="256"/>
    </row>
    <row r="208" spans="16:19" x14ac:dyDescent="0.2">
      <c r="P208" s="161">
        <f t="shared" si="9"/>
        <v>155</v>
      </c>
      <c r="Q208" s="163"/>
      <c r="R208" s="255" t="e">
        <f t="shared" si="10"/>
        <v>#DIV/0!</v>
      </c>
      <c r="S208" s="256"/>
    </row>
    <row r="209" spans="16:19" x14ac:dyDescent="0.2">
      <c r="P209" s="161">
        <f t="shared" si="9"/>
        <v>156.5</v>
      </c>
      <c r="Q209" s="163"/>
      <c r="R209" s="255" t="e">
        <f t="shared" si="10"/>
        <v>#DIV/0!</v>
      </c>
      <c r="S209" s="256"/>
    </row>
    <row r="210" spans="16:19" x14ac:dyDescent="0.2">
      <c r="P210" s="161">
        <f t="shared" si="9"/>
        <v>158</v>
      </c>
      <c r="Q210" s="163"/>
      <c r="R210" s="255" t="e">
        <f t="shared" si="10"/>
        <v>#DIV/0!</v>
      </c>
      <c r="S210" s="256"/>
    </row>
    <row r="211" spans="16:19" x14ac:dyDescent="0.2">
      <c r="P211" s="161">
        <f t="shared" si="9"/>
        <v>159.5</v>
      </c>
      <c r="Q211" s="163"/>
      <c r="R211" s="255" t="e">
        <f t="shared" si="10"/>
        <v>#DIV/0!</v>
      </c>
      <c r="S211" s="256"/>
    </row>
    <row r="212" spans="16:19" x14ac:dyDescent="0.2">
      <c r="P212" s="161">
        <f t="shared" si="9"/>
        <v>161</v>
      </c>
      <c r="Q212" s="163"/>
      <c r="R212" s="255" t="e">
        <f t="shared" si="10"/>
        <v>#DIV/0!</v>
      </c>
      <c r="S212" s="256"/>
    </row>
    <row r="213" spans="16:19" x14ac:dyDescent="0.2">
      <c r="P213" s="161">
        <f t="shared" si="9"/>
        <v>162.5</v>
      </c>
      <c r="Q213" s="163"/>
      <c r="R213" s="255" t="e">
        <f t="shared" si="10"/>
        <v>#DIV/0!</v>
      </c>
      <c r="S213" s="256"/>
    </row>
    <row r="214" spans="16:19" x14ac:dyDescent="0.2">
      <c r="P214" s="161">
        <f t="shared" si="9"/>
        <v>164</v>
      </c>
      <c r="Q214" s="163"/>
      <c r="R214" s="255" t="e">
        <f t="shared" si="10"/>
        <v>#DIV/0!</v>
      </c>
      <c r="S214" s="256"/>
    </row>
    <row r="215" spans="16:19" x14ac:dyDescent="0.2">
      <c r="P215" s="161">
        <f t="shared" si="9"/>
        <v>165.5</v>
      </c>
      <c r="Q215" s="163"/>
      <c r="R215" s="255" t="e">
        <f t="shared" si="10"/>
        <v>#DIV/0!</v>
      </c>
      <c r="S215" s="256"/>
    </row>
    <row r="216" spans="16:19" x14ac:dyDescent="0.2">
      <c r="P216" s="161">
        <f t="shared" si="9"/>
        <v>167</v>
      </c>
      <c r="Q216" s="163"/>
      <c r="R216" s="255" t="e">
        <f t="shared" si="10"/>
        <v>#DIV/0!</v>
      </c>
      <c r="S216" s="256"/>
    </row>
    <row r="217" spans="16:19" x14ac:dyDescent="0.2">
      <c r="P217" s="161">
        <f t="shared" si="9"/>
        <v>168.5</v>
      </c>
      <c r="Q217" s="163"/>
      <c r="R217" s="255" t="e">
        <f t="shared" si="10"/>
        <v>#DIV/0!</v>
      </c>
      <c r="S217" s="256"/>
    </row>
    <row r="218" spans="16:19" x14ac:dyDescent="0.2">
      <c r="P218" s="161">
        <f t="shared" si="9"/>
        <v>170</v>
      </c>
      <c r="Q218" s="163"/>
      <c r="R218" s="255" t="e">
        <f t="shared" si="10"/>
        <v>#DIV/0!</v>
      </c>
      <c r="S218" s="256"/>
    </row>
    <row r="219" spans="16:19" x14ac:dyDescent="0.2">
      <c r="P219" s="161">
        <f t="shared" si="9"/>
        <v>171.5</v>
      </c>
      <c r="Q219" s="163"/>
      <c r="R219" s="255" t="e">
        <f t="shared" si="10"/>
        <v>#DIV/0!</v>
      </c>
      <c r="S219" s="256"/>
    </row>
    <row r="220" spans="16:19" x14ac:dyDescent="0.2">
      <c r="P220" s="161">
        <f t="shared" si="9"/>
        <v>173</v>
      </c>
      <c r="Q220" s="163"/>
      <c r="R220" s="255" t="e">
        <f t="shared" si="10"/>
        <v>#DIV/0!</v>
      </c>
      <c r="S220" s="256"/>
    </row>
    <row r="221" spans="16:19" x14ac:dyDescent="0.2">
      <c r="P221" s="161"/>
      <c r="Q221" s="163"/>
      <c r="R221" s="255"/>
      <c r="S221" s="256"/>
    </row>
    <row r="222" spans="16:19" x14ac:dyDescent="0.2">
      <c r="P222" s="161"/>
      <c r="Q222" s="163"/>
      <c r="R222" s="255"/>
      <c r="S222" s="256"/>
    </row>
    <row r="223" spans="16:19" x14ac:dyDescent="0.2">
      <c r="P223" s="161"/>
      <c r="Q223" s="163"/>
      <c r="R223" s="255"/>
      <c r="S223" s="256"/>
    </row>
    <row r="224" spans="16:19" x14ac:dyDescent="0.2">
      <c r="P224" s="161"/>
      <c r="Q224" s="163"/>
      <c r="R224" s="255"/>
      <c r="S224" s="256"/>
    </row>
    <row r="225" spans="16:19" x14ac:dyDescent="0.2">
      <c r="P225" s="161"/>
      <c r="Q225" s="163"/>
      <c r="R225" s="255"/>
      <c r="S225" s="256"/>
    </row>
    <row r="226" spans="16:19" x14ac:dyDescent="0.2">
      <c r="P226" s="161"/>
      <c r="Q226" s="163"/>
      <c r="R226" s="255"/>
      <c r="S226" s="256"/>
    </row>
    <row r="227" spans="16:19" x14ac:dyDescent="0.2">
      <c r="P227" s="161"/>
      <c r="Q227" s="163"/>
      <c r="R227" s="255"/>
      <c r="S227" s="256"/>
    </row>
    <row r="228" spans="16:19" x14ac:dyDescent="0.2">
      <c r="P228" s="161"/>
      <c r="Q228" s="163"/>
      <c r="R228" s="255"/>
      <c r="S228" s="256"/>
    </row>
    <row r="229" spans="16:19" x14ac:dyDescent="0.2">
      <c r="P229" s="161"/>
      <c r="Q229" s="163"/>
      <c r="R229" s="255"/>
      <c r="S229" s="256"/>
    </row>
    <row r="230" spans="16:19" x14ac:dyDescent="0.2">
      <c r="P230" s="161"/>
      <c r="Q230" s="163"/>
      <c r="R230" s="255"/>
      <c r="S230" s="256"/>
    </row>
    <row r="231" spans="16:19" x14ac:dyDescent="0.2">
      <c r="P231" s="161"/>
      <c r="Q231" s="163"/>
      <c r="R231" s="255"/>
      <c r="S231" s="256"/>
    </row>
    <row r="232" spans="16:19" x14ac:dyDescent="0.2">
      <c r="P232" s="161"/>
      <c r="Q232" s="163"/>
      <c r="R232" s="255"/>
      <c r="S232" s="256"/>
    </row>
    <row r="233" spans="16:19" x14ac:dyDescent="0.2">
      <c r="P233" s="161"/>
      <c r="Q233" s="163"/>
      <c r="R233" s="255"/>
      <c r="S233" s="256"/>
    </row>
    <row r="234" spans="16:19" x14ac:dyDescent="0.2">
      <c r="P234" s="161"/>
      <c r="Q234" s="163"/>
      <c r="R234" s="255"/>
      <c r="S234" s="256"/>
    </row>
    <row r="235" spans="16:19" x14ac:dyDescent="0.2">
      <c r="P235" s="161"/>
      <c r="Q235" s="163"/>
      <c r="R235" s="255"/>
      <c r="S235" s="256"/>
    </row>
    <row r="236" spans="16:19" x14ac:dyDescent="0.2">
      <c r="P236" s="161"/>
      <c r="Q236" s="163"/>
      <c r="R236" s="255"/>
      <c r="S236" s="256"/>
    </row>
    <row r="237" spans="16:19" x14ac:dyDescent="0.2">
      <c r="P237" s="161"/>
      <c r="Q237" s="163"/>
      <c r="R237" s="255"/>
      <c r="S237" s="256"/>
    </row>
    <row r="238" spans="16:19" x14ac:dyDescent="0.2">
      <c r="P238" s="161"/>
      <c r="Q238" s="163"/>
      <c r="R238" s="255"/>
      <c r="S238" s="256"/>
    </row>
    <row r="239" spans="16:19" x14ac:dyDescent="0.2">
      <c r="P239" s="161"/>
      <c r="Q239" s="163"/>
      <c r="R239" s="255"/>
      <c r="S239" s="256"/>
    </row>
    <row r="240" spans="16:19" x14ac:dyDescent="0.2">
      <c r="P240" s="161"/>
      <c r="Q240" s="163"/>
      <c r="R240" s="255"/>
      <c r="S240" s="256"/>
    </row>
    <row r="241" spans="16:19" x14ac:dyDescent="0.2">
      <c r="P241" s="161"/>
      <c r="Q241" s="163"/>
      <c r="R241" s="255"/>
      <c r="S241" s="256"/>
    </row>
    <row r="242" spans="16:19" x14ac:dyDescent="0.2">
      <c r="P242" s="161"/>
      <c r="Q242" s="163"/>
      <c r="R242" s="255"/>
      <c r="S242" s="256"/>
    </row>
    <row r="243" spans="16:19" x14ac:dyDescent="0.2">
      <c r="P243" s="161"/>
      <c r="Q243" s="163"/>
      <c r="R243" s="255"/>
      <c r="S243" s="256"/>
    </row>
    <row r="244" spans="16:19" x14ac:dyDescent="0.2">
      <c r="P244" s="161"/>
      <c r="Q244" s="163"/>
      <c r="R244" s="255"/>
      <c r="S244" s="256"/>
    </row>
    <row r="245" spans="16:19" x14ac:dyDescent="0.2">
      <c r="P245" s="161"/>
      <c r="Q245" s="163"/>
      <c r="R245" s="255"/>
      <c r="S245" s="256"/>
    </row>
    <row r="246" spans="16:19" x14ac:dyDescent="0.2">
      <c r="P246" s="161"/>
      <c r="Q246" s="163"/>
      <c r="R246" s="255"/>
      <c r="S246" s="256"/>
    </row>
    <row r="247" spans="16:19" x14ac:dyDescent="0.2">
      <c r="P247" s="161"/>
      <c r="Q247" s="163"/>
      <c r="R247" s="255"/>
      <c r="S247" s="256"/>
    </row>
    <row r="248" spans="16:19" x14ac:dyDescent="0.2">
      <c r="P248" s="161"/>
      <c r="Q248" s="163"/>
      <c r="R248" s="255"/>
      <c r="S248" s="256"/>
    </row>
  </sheetData>
  <sheetProtection algorithmName="SHA-512" hashValue="cqAzqvebe/kKDSr7tGUARU0QR3Tpjf0Mqh5RRW46lPsmZVlozyM2xa6Xtz5ecFRrYjF8iNqCbTKdth+0bvCD5Q==" saltValue="6jsE0+KhwfoEtvXRsqYEbA==" spinCount="100000" sheet="1" selectLockedCells="1"/>
  <mergeCells count="245">
    <mergeCell ref="R247:S247"/>
    <mergeCell ref="R248:S248"/>
    <mergeCell ref="R238:S238"/>
    <mergeCell ref="R239:S239"/>
    <mergeCell ref="R240:S240"/>
    <mergeCell ref="R241:S241"/>
    <mergeCell ref="R242:S242"/>
    <mergeCell ref="R243:S243"/>
    <mergeCell ref="R244:S244"/>
    <mergeCell ref="R245:S245"/>
    <mergeCell ref="R246:S246"/>
    <mergeCell ref="R229:S229"/>
    <mergeCell ref="R230:S230"/>
    <mergeCell ref="R231:S231"/>
    <mergeCell ref="R232:S232"/>
    <mergeCell ref="R233:S233"/>
    <mergeCell ref="R234:S234"/>
    <mergeCell ref="R235:S235"/>
    <mergeCell ref="R236:S236"/>
    <mergeCell ref="R237:S237"/>
    <mergeCell ref="R220:S220"/>
    <mergeCell ref="R221:S221"/>
    <mergeCell ref="R222:S222"/>
    <mergeCell ref="R223:S223"/>
    <mergeCell ref="R224:S224"/>
    <mergeCell ref="R225:S225"/>
    <mergeCell ref="R226:S226"/>
    <mergeCell ref="R227:S227"/>
    <mergeCell ref="R228:S228"/>
    <mergeCell ref="R211:S211"/>
    <mergeCell ref="R212:S212"/>
    <mergeCell ref="R213:S213"/>
    <mergeCell ref="R214:S214"/>
    <mergeCell ref="R215:S215"/>
    <mergeCell ref="R216:S216"/>
    <mergeCell ref="R217:S217"/>
    <mergeCell ref="R218:S218"/>
    <mergeCell ref="R219:S219"/>
    <mergeCell ref="R202:S202"/>
    <mergeCell ref="R203:S203"/>
    <mergeCell ref="R204:S204"/>
    <mergeCell ref="R205:S205"/>
    <mergeCell ref="R206:S206"/>
    <mergeCell ref="R207:S207"/>
    <mergeCell ref="R208:S208"/>
    <mergeCell ref="R209:S209"/>
    <mergeCell ref="R210:S210"/>
    <mergeCell ref="R193:S193"/>
    <mergeCell ref="R194:S194"/>
    <mergeCell ref="R195:S195"/>
    <mergeCell ref="R196:S196"/>
    <mergeCell ref="R197:S197"/>
    <mergeCell ref="R198:S198"/>
    <mergeCell ref="R199:S199"/>
    <mergeCell ref="R200:S200"/>
    <mergeCell ref="R201:S201"/>
    <mergeCell ref="R184:S184"/>
    <mergeCell ref="R185:S185"/>
    <mergeCell ref="R186:S186"/>
    <mergeCell ref="R187:S187"/>
    <mergeCell ref="R188:S188"/>
    <mergeCell ref="R189:S189"/>
    <mergeCell ref="R190:S190"/>
    <mergeCell ref="R191:S191"/>
    <mergeCell ref="R192:S192"/>
    <mergeCell ref="R175:S175"/>
    <mergeCell ref="R176:S176"/>
    <mergeCell ref="R177:S177"/>
    <mergeCell ref="R178:S178"/>
    <mergeCell ref="R179:S179"/>
    <mergeCell ref="R180:S180"/>
    <mergeCell ref="R181:S181"/>
    <mergeCell ref="R182:S182"/>
    <mergeCell ref="R183:S183"/>
    <mergeCell ref="R166:S166"/>
    <mergeCell ref="R167:S167"/>
    <mergeCell ref="R168:S168"/>
    <mergeCell ref="R169:S169"/>
    <mergeCell ref="R170:S170"/>
    <mergeCell ref="R171:S171"/>
    <mergeCell ref="R172:S172"/>
    <mergeCell ref="R173:S173"/>
    <mergeCell ref="R174:S174"/>
    <mergeCell ref="R157:S157"/>
    <mergeCell ref="R158:S158"/>
    <mergeCell ref="R159:S159"/>
    <mergeCell ref="R160:S160"/>
    <mergeCell ref="R161:S161"/>
    <mergeCell ref="R162:S162"/>
    <mergeCell ref="R163:S163"/>
    <mergeCell ref="R164:S164"/>
    <mergeCell ref="R165:S165"/>
    <mergeCell ref="R148:S148"/>
    <mergeCell ref="R149:S149"/>
    <mergeCell ref="R150:S150"/>
    <mergeCell ref="R151:S151"/>
    <mergeCell ref="R152:S152"/>
    <mergeCell ref="R153:S153"/>
    <mergeCell ref="R154:S154"/>
    <mergeCell ref="R155:S155"/>
    <mergeCell ref="R156:S156"/>
    <mergeCell ref="R139:S139"/>
    <mergeCell ref="R140:S140"/>
    <mergeCell ref="R141:S141"/>
    <mergeCell ref="R142:S142"/>
    <mergeCell ref="R143:S143"/>
    <mergeCell ref="R144:S144"/>
    <mergeCell ref="R145:S145"/>
    <mergeCell ref="R146:S146"/>
    <mergeCell ref="R147:S147"/>
    <mergeCell ref="U6:V6"/>
    <mergeCell ref="R138:S138"/>
    <mergeCell ref="R132:S132"/>
    <mergeCell ref="R133:S133"/>
    <mergeCell ref="R134:S134"/>
    <mergeCell ref="R135:S135"/>
    <mergeCell ref="R136:S136"/>
    <mergeCell ref="R137:S137"/>
    <mergeCell ref="R126:S126"/>
    <mergeCell ref="R127:S127"/>
    <mergeCell ref="R128:S128"/>
    <mergeCell ref="R129:S129"/>
    <mergeCell ref="R130:S130"/>
    <mergeCell ref="R131:S131"/>
    <mergeCell ref="R120:S120"/>
    <mergeCell ref="R121:S121"/>
    <mergeCell ref="R122:S122"/>
    <mergeCell ref="R123:S123"/>
    <mergeCell ref="R124:S124"/>
    <mergeCell ref="R125:S125"/>
    <mergeCell ref="R114:S114"/>
    <mergeCell ref="R115:S115"/>
    <mergeCell ref="R116:S116"/>
    <mergeCell ref="R117:S117"/>
    <mergeCell ref="R118:S118"/>
    <mergeCell ref="R119:S119"/>
    <mergeCell ref="R108:S108"/>
    <mergeCell ref="R109:S109"/>
    <mergeCell ref="R110:S110"/>
    <mergeCell ref="R111:S111"/>
    <mergeCell ref="R112:S112"/>
    <mergeCell ref="R113:S113"/>
    <mergeCell ref="R102:S102"/>
    <mergeCell ref="R103:S103"/>
    <mergeCell ref="R104:S104"/>
    <mergeCell ref="R105:S105"/>
    <mergeCell ref="R106:S106"/>
    <mergeCell ref="R107:S107"/>
    <mergeCell ref="R96:S96"/>
    <mergeCell ref="R97:S97"/>
    <mergeCell ref="R98:S98"/>
    <mergeCell ref="R99:S99"/>
    <mergeCell ref="R100:S100"/>
    <mergeCell ref="R101:S101"/>
    <mergeCell ref="R90:S90"/>
    <mergeCell ref="R91:S91"/>
    <mergeCell ref="R92:S92"/>
    <mergeCell ref="R93:S93"/>
    <mergeCell ref="R94:S94"/>
    <mergeCell ref="R95:S95"/>
    <mergeCell ref="R84:S84"/>
    <mergeCell ref="R85:S85"/>
    <mergeCell ref="R86:S86"/>
    <mergeCell ref="R87:S87"/>
    <mergeCell ref="R88:S88"/>
    <mergeCell ref="R89:S89"/>
    <mergeCell ref="R78:S78"/>
    <mergeCell ref="R79:S79"/>
    <mergeCell ref="R80:S80"/>
    <mergeCell ref="R81:S81"/>
    <mergeCell ref="R82:S82"/>
    <mergeCell ref="R83:S83"/>
    <mergeCell ref="R72:S72"/>
    <mergeCell ref="R73:S73"/>
    <mergeCell ref="R74:S74"/>
    <mergeCell ref="R75:S75"/>
    <mergeCell ref="R76:S76"/>
    <mergeCell ref="R77:S77"/>
    <mergeCell ref="R66:S66"/>
    <mergeCell ref="R67:S67"/>
    <mergeCell ref="R68:S68"/>
    <mergeCell ref="R69:S69"/>
    <mergeCell ref="R70:S70"/>
    <mergeCell ref="R71:S71"/>
    <mergeCell ref="R60:S60"/>
    <mergeCell ref="R61:S61"/>
    <mergeCell ref="R62:S62"/>
    <mergeCell ref="R63:S63"/>
    <mergeCell ref="R64:S64"/>
    <mergeCell ref="R65:S65"/>
    <mergeCell ref="R54:S54"/>
    <mergeCell ref="R55:S55"/>
    <mergeCell ref="R56:S56"/>
    <mergeCell ref="R57:S57"/>
    <mergeCell ref="R58:S58"/>
    <mergeCell ref="R59:S59"/>
    <mergeCell ref="R48:S48"/>
    <mergeCell ref="R49:S49"/>
    <mergeCell ref="R50:S50"/>
    <mergeCell ref="R51:S51"/>
    <mergeCell ref="R52:S52"/>
    <mergeCell ref="R53:S53"/>
    <mergeCell ref="R42:S42"/>
    <mergeCell ref="R43:S43"/>
    <mergeCell ref="R44:S44"/>
    <mergeCell ref="R45:S45"/>
    <mergeCell ref="R46:S46"/>
    <mergeCell ref="R47:S47"/>
    <mergeCell ref="R35:S35"/>
    <mergeCell ref="R36:S36"/>
    <mergeCell ref="R38:S38"/>
    <mergeCell ref="R39:S39"/>
    <mergeCell ref="R40:S40"/>
    <mergeCell ref="R41:S41"/>
    <mergeCell ref="R29:S29"/>
    <mergeCell ref="R30:S30"/>
    <mergeCell ref="R31:S31"/>
    <mergeCell ref="R32:S32"/>
    <mergeCell ref="R33:S33"/>
    <mergeCell ref="R34:S34"/>
    <mergeCell ref="N37:S37"/>
    <mergeCell ref="R23:S23"/>
    <mergeCell ref="R24:S24"/>
    <mergeCell ref="R25:S25"/>
    <mergeCell ref="R26:S26"/>
    <mergeCell ref="R27:S27"/>
    <mergeCell ref="R28:S28"/>
    <mergeCell ref="R17:S17"/>
    <mergeCell ref="R18:S18"/>
    <mergeCell ref="R19:S19"/>
    <mergeCell ref="R20:S20"/>
    <mergeCell ref="R21:S21"/>
    <mergeCell ref="R22:S22"/>
    <mergeCell ref="R11:S11"/>
    <mergeCell ref="R12:S12"/>
    <mergeCell ref="R13:S13"/>
    <mergeCell ref="R14:S14"/>
    <mergeCell ref="R15:S15"/>
    <mergeCell ref="R16:S16"/>
    <mergeCell ref="R5:S6"/>
    <mergeCell ref="P3:Q3"/>
    <mergeCell ref="R7:S7"/>
    <mergeCell ref="R8:S8"/>
    <mergeCell ref="R9:S9"/>
    <mergeCell ref="R10:S10"/>
  </mergeCells>
  <pageMargins left="0.70866141732283472" right="0.70866141732283472" top="0.78740157480314965" bottom="0.78740157480314965" header="0.31496062992125984" footer="0.31496062992125984"/>
  <pageSetup paperSize="9" orientation="landscape" horizontalDpi="4294967293" verticalDpi="0" r:id="rId1"/>
  <headerFooter>
    <oddHeader>&amp;C&amp;"Arial,Fett"&amp;K000000Ermittlung von Mittelwert und Standardabweichung nach VPAM-KNB</oddHeader>
    <oddFooter>&amp;L&amp;"Arial,Fett"&amp;K000000VPAM-ZD #01&amp;C&amp;"Arial,Fett"&amp;K000000Formular zu VPAM-AND #02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F6EB0AE0CB3A144BB6E50F69BB69876" ma:contentTypeVersion="10" ma:contentTypeDescription="Ein neues Dokument erstellen." ma:contentTypeScope="" ma:versionID="7933da19ae4cad576e3fd4b221a10bd7">
  <xsd:schema xmlns:xsd="http://www.w3.org/2001/XMLSchema" xmlns:xs="http://www.w3.org/2001/XMLSchema" xmlns:p="http://schemas.microsoft.com/office/2006/metadata/properties" xmlns:ns2="730edb0d-bb7a-481f-9158-cd4baa134579" targetNamespace="http://schemas.microsoft.com/office/2006/metadata/properties" ma:root="true" ma:fieldsID="5a7a2dc8d3c6534a9e69cc66a0d1cd65" ns2:_="">
    <xsd:import namespace="730edb0d-bb7a-481f-9158-cd4baa13457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0edb0d-bb7a-481f-9158-cd4baa1345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0EBAF8-DC7D-40DD-A2C5-E22C66F8D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0edb0d-bb7a-481f-9158-cd4baa134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ED372-6820-40C8-B7A7-6679EFAFFA0C}">
  <ds:schemaRefs>
    <ds:schemaRef ds:uri="http://schemas.openxmlformats.org/package/2006/metadata/core-properties"/>
    <ds:schemaRef ds:uri="http://purl.org/dc/terms/"/>
    <ds:schemaRef ds:uri="http://schemas.microsoft.com/office/2006/metadata/properties"/>
    <ds:schemaRef ds:uri="http://purl.org/dc/dcmitype/"/>
    <ds:schemaRef ds:uri="4b93d83a-3cab-45e2-8da8-32017b7cfc8b"/>
    <ds:schemaRef ds:uri="http://schemas.microsoft.com/office/2006/documentManagement/types"/>
    <ds:schemaRef ds:uri="http://schemas.microsoft.com/office/infopath/2007/PartnerControls"/>
    <ds:schemaRef ds:uri="1e4d6df1-40cf-409c-ab3e-34747904a3fc"/>
    <ds:schemaRef ds:uri="http://www.w3.org/XML/1998/namespace"/>
    <ds:schemaRef ds:uri="http://purl.org/dc/elements/1.1/"/>
  </ds:schemaRefs>
</ds:datastoreItem>
</file>

<file path=customXml/itemProps3.xml><?xml version="1.0" encoding="utf-8"?>
<ds:datastoreItem xmlns:ds="http://schemas.openxmlformats.org/officeDocument/2006/customXml" ds:itemID="{227B065F-A66A-4A8B-8144-A49A7D32EF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25</vt:i4>
      </vt:variant>
    </vt:vector>
  </HeadingPairs>
  <TitlesOfParts>
    <vt:vector size="27" baseType="lpstr">
      <vt:lpstr>v50</vt:lpstr>
      <vt:lpstr>v50-Kurve</vt:lpstr>
      <vt:lpstr>'v50'!Druckbereich</vt:lpstr>
      <vt:lpstr>'v50-Kurve'!Druckbereich</vt:lpstr>
      <vt:lpstr>DS</vt:lpstr>
      <vt:lpstr>Eingabe</vt:lpstr>
      <vt:lpstr>Ergebnis</vt:lpstr>
      <vt:lpstr>KD</vt:lpstr>
      <vt:lpstr>Klassenbreite</vt:lpstr>
      <vt:lpstr>MaxV_DS</vt:lpstr>
      <vt:lpstr>MaxV_KD</vt:lpstr>
      <vt:lpstr>MaxV_v50</vt:lpstr>
      <vt:lpstr>MinV_DS</vt:lpstr>
      <vt:lpstr>MinV_KD</vt:lpstr>
      <vt:lpstr>MinV_v50</vt:lpstr>
      <vt:lpstr>obere_Klassengrenze</vt:lpstr>
      <vt:lpstr>Offset</vt:lpstr>
      <vt:lpstr>Schussanzahl</vt:lpstr>
      <vt:lpstr>skorr</vt:lpstr>
      <vt:lpstr>Teilbereiche</vt:lpstr>
      <vt:lpstr>test</vt:lpstr>
      <vt:lpstr>TrefferIn1</vt:lpstr>
      <vt:lpstr>TrefferIn2</vt:lpstr>
      <vt:lpstr>TrefferIn3</vt:lpstr>
      <vt:lpstr>untere_Klassengrenze</vt:lpstr>
      <vt:lpstr>v50korr</vt:lpstr>
      <vt:lpstr>vgemessen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Schutzwesten</dc:title>
  <dc:subject>Beschuss-Auswertung</dc:subject>
  <dc:creator>Beat P. Kneubuehl</dc:creator>
  <cp:lastModifiedBy>Florian Markus MAYER</cp:lastModifiedBy>
  <cp:lastPrinted>2021-07-25T10:52:30Z</cp:lastPrinted>
  <dcterms:created xsi:type="dcterms:W3CDTF">2008-06-20T10:59:45Z</dcterms:created>
  <dcterms:modified xsi:type="dcterms:W3CDTF">2021-10-17T21:02:57Z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0x010100FF6EB0AE0CB3A144BB6E50F69BB69876</vt:lpwstr>
  </property>
</Properties>
</file>